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2988" windowWidth="12048" windowHeight="5832" activeTab="0"/>
  </bookViews>
  <sheets>
    <sheet name="Nal Oct" sheetId="1" r:id="rId1"/>
    <sheet name="Inter Oct" sheetId="2" r:id="rId2"/>
    <sheet name="Hoja1" sheetId="3" r:id="rId3"/>
    <sheet name="Hoja2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<sst xmlns="http://schemas.openxmlformats.org/spreadsheetml/2006/main" count="120" uniqueCount="65">
  <si>
    <t>CANCELADOS</t>
  </si>
  <si>
    <t>DEMORADOS</t>
  </si>
  <si>
    <t>ANALISIS DE CUMPLIMIENTO</t>
  </si>
  <si>
    <t>EMPRESAS INTERNACIONALES</t>
  </si>
  <si>
    <t>No.</t>
  </si>
  <si>
    <t>CONCEPTO</t>
  </si>
  <si>
    <t>AMERICAN</t>
  </si>
  <si>
    <t>AVIANCA</t>
  </si>
  <si>
    <t>CUBANA</t>
  </si>
  <si>
    <t>DELTA</t>
  </si>
  <si>
    <t>IBERIA</t>
  </si>
  <si>
    <t>TAME</t>
  </si>
  <si>
    <t>LACSA</t>
  </si>
  <si>
    <t>TOTAL</t>
  </si>
  <si>
    <t>VUELOS PROGRAMADOS</t>
  </si>
  <si>
    <t>VUELOS ADICIONALES</t>
  </si>
  <si>
    <t>No. VUELOS</t>
  </si>
  <si>
    <t>MINUTOS</t>
  </si>
  <si>
    <t>TOTAL VUELOS</t>
  </si>
  <si>
    <t>VUELOS VENDIDOS</t>
  </si>
  <si>
    <t>VUELOS CUMPLIDOS</t>
  </si>
  <si>
    <t>TIEMPO PROMEDIO POR DEMORA</t>
  </si>
  <si>
    <t>VUELOS DEMORADOS</t>
  </si>
  <si>
    <t>VUELOS CANCELADOS</t>
  </si>
  <si>
    <t>TACA  PERU</t>
  </si>
  <si>
    <t>LAN  PERU</t>
  </si>
  <si>
    <t>AI R E S</t>
  </si>
  <si>
    <t>AIR  CANADA</t>
  </si>
  <si>
    <t>POR FALTA DE TRAFICO</t>
  </si>
  <si>
    <t>POR INCONTROLABLES</t>
  </si>
  <si>
    <t>POR DAÑOS TECNICOS</t>
  </si>
  <si>
    <t>POR OPERACIONALES</t>
  </si>
  <si>
    <t>CUMPLIMIENTO DEL SERVICIO</t>
  </si>
  <si>
    <t>VUELOS CHARTERS</t>
  </si>
  <si>
    <t xml:space="preserve"> POR FALTA DE TRAFICO</t>
  </si>
  <si>
    <t xml:space="preserve"> POR INCONTROLABLES</t>
  </si>
  <si>
    <t>NUMERO</t>
  </si>
  <si>
    <t>AEROREPUBLICA</t>
  </si>
  <si>
    <t>A. GALAPAGOS</t>
  </si>
  <si>
    <t>EMPRESAS NACIONALES</t>
  </si>
  <si>
    <t>RPB</t>
  </si>
  <si>
    <t>ARE</t>
  </si>
  <si>
    <t>AVA</t>
  </si>
  <si>
    <t>EFY</t>
  </si>
  <si>
    <t>NO ESPECIFICOS</t>
  </si>
  <si>
    <t>NSE</t>
  </si>
  <si>
    <t>A. ARGENTINAS</t>
  </si>
  <si>
    <t>AIR FRANCE</t>
  </si>
  <si>
    <t>CONTINENTAL</t>
  </si>
  <si>
    <t>TOTAL INCONTROLABLES Y TRAFICO</t>
  </si>
  <si>
    <t>TOTAL DAÑOS TECNICOS Y OPERACIONALES</t>
  </si>
  <si>
    <t>ADA</t>
  </si>
  <si>
    <t>CUMPLIMIENTO DE ITINERARIOS REGISTRADOS EN LA UAEAC</t>
  </si>
  <si>
    <t>COPA</t>
  </si>
  <si>
    <t>LAN CHILE</t>
  </si>
  <si>
    <t>JETBLUE</t>
  </si>
  <si>
    <t>DUCHT</t>
  </si>
  <si>
    <t>SPIRIT</t>
  </si>
  <si>
    <t>Fuente: Torre de Control/Itinerarios/Aerolineas</t>
  </si>
  <si>
    <t>AEROMEXICO</t>
  </si>
  <si>
    <t>LUFTHANSA</t>
  </si>
  <si>
    <t>VUELOS CANCELADOS - CRUCE DE DATOS</t>
  </si>
  <si>
    <t>VUELOS DEMORADOS - CRUCE DE DATOS</t>
  </si>
  <si>
    <t>MES : OCTUBRE 2011</t>
  </si>
  <si>
    <t>CONVIASA</t>
  </si>
</sst>
</file>

<file path=xl/styles.xml><?xml version="1.0" encoding="utf-8"?>
<styleSheet xmlns="http://schemas.openxmlformats.org/spreadsheetml/2006/main">
  <numFmts count="5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&quot;$b&quot;\ * #,##0.00_);_(&quot;$b&quot;\ * \(#,##0.00\);_(&quot;$b&quot;\ 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##0"/>
    <numFmt numFmtId="189" formatCode="0.0%"/>
    <numFmt numFmtId="190" formatCode="#,##0\ &quot;pta&quot;;\-#,##0\ &quot;pta&quot;"/>
    <numFmt numFmtId="191" formatCode="#,##0\ &quot;pta&quot;;[Red]\-#,##0\ &quot;pta&quot;"/>
    <numFmt numFmtId="192" formatCode="#,##0.00\ &quot;pta&quot;;\-#,##0.00\ &quot;pta&quot;"/>
    <numFmt numFmtId="193" formatCode="#,##0.00\ &quot;pta&quot;;[Red]\-#,##0.00\ &quot;pta&quot;"/>
    <numFmt numFmtId="194" formatCode="_-* #,##0\ &quot;pta&quot;_-;\-* #,##0\ &quot;pta&quot;_-;_-* &quot;-&quot;\ &quot;pta&quot;_-;_-@_-"/>
    <numFmt numFmtId="195" formatCode="_-* #,##0\ _p_t_a_-;\-* #,##0\ _p_t_a_-;_-* &quot;-&quot;\ _p_t_a_-;_-@_-"/>
    <numFmt numFmtId="196" formatCode="_-* #,##0.00\ &quot;pta&quot;_-;\-* #,##0.00\ &quot;pta&quot;_-;_-* &quot;-&quot;??\ &quot;pta&quot;_-;_-@_-"/>
    <numFmt numFmtId="197" formatCode="_-* #,##0.00\ _p_t_a_-;\-* #,##0.00\ _p_t_a_-;_-* &quot;-&quot;??\ _p_t_a_-;_-@_-"/>
    <numFmt numFmtId="198" formatCode="#,##0.0"/>
    <numFmt numFmtId="199" formatCode="0.0\ %"/>
    <numFmt numFmtId="200" formatCode="0.0"/>
    <numFmt numFmtId="201" formatCode="_-* #,##0.00\ [$€]_-;\-* #,##0.00\ [$€]_-;_-* &quot;-&quot;??\ [$€]_-;_-@_-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.00000000"/>
    <numFmt numFmtId="208" formatCode="[$-240A]hh:mm:ss\ AM/PM"/>
    <numFmt numFmtId="209" formatCode="[$-240A]dddd\,\ dd&quot; de &quot;mmmm&quot; de &quot;yyyy"/>
    <numFmt numFmtId="210" formatCode="[$-C0A]dddd\,\ dd&quot; de &quot;mmmm&quot; de &quot;yyyy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</numFmts>
  <fonts count="6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3.25"/>
      <color indexed="8"/>
      <name val="Arial"/>
      <family val="0"/>
    </font>
    <font>
      <b/>
      <sz val="2"/>
      <color indexed="8"/>
      <name val="Comic Sans MS"/>
      <family val="0"/>
    </font>
    <font>
      <b/>
      <sz val="1.5"/>
      <color indexed="8"/>
      <name val="Comic Sans MS"/>
      <family val="0"/>
    </font>
    <font>
      <sz val="1.75"/>
      <color indexed="8"/>
      <name val="Comic Sans MS"/>
      <family val="0"/>
    </font>
    <font>
      <sz val="2"/>
      <color indexed="8"/>
      <name val="Arial"/>
      <family val="0"/>
    </font>
    <font>
      <sz val="1"/>
      <color indexed="8"/>
      <name val="Arial"/>
      <family val="0"/>
    </font>
    <font>
      <sz val="3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b/>
      <sz val="1.75"/>
      <color indexed="8"/>
      <name val="Comic Sans MS"/>
      <family val="0"/>
    </font>
    <font>
      <b/>
      <sz val="1"/>
      <color indexed="8"/>
      <name val="Arial"/>
      <family val="0"/>
    </font>
    <font>
      <b/>
      <sz val="2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n">
        <color indexed="8"/>
      </right>
      <top style="thick"/>
      <bottom style="thick"/>
    </border>
    <border>
      <left>
        <color indexed="63"/>
      </left>
      <right style="thin">
        <color indexed="8"/>
      </right>
      <top style="thick"/>
      <bottom style="thick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n">
        <color indexed="8"/>
      </bottom>
    </border>
    <border>
      <left style="thick"/>
      <right style="thick"/>
      <top style="thin">
        <color indexed="8"/>
      </top>
      <bottom style="thin">
        <color indexed="8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ck"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2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7" fillId="33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horizontal="center" vertical="center" wrapText="1"/>
    </xf>
    <xf numFmtId="3" fontId="0" fillId="33" borderId="11" xfId="0" applyNumberFormat="1" applyFont="1" applyFill="1" applyBorder="1" applyAlignment="1">
      <alignment horizontal="right"/>
    </xf>
    <xf numFmtId="3" fontId="0" fillId="33" borderId="12" xfId="0" applyNumberFormat="1" applyFont="1" applyFill="1" applyBorder="1" applyAlignment="1">
      <alignment horizontal="right"/>
    </xf>
    <xf numFmtId="0" fontId="61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9" fillId="0" borderId="13" xfId="0" applyNumberFormat="1" applyFont="1" applyBorder="1" applyAlignment="1" applyProtection="1">
      <alignment horizontal="right"/>
      <protection/>
    </xf>
    <xf numFmtId="3" fontId="0" fillId="33" borderId="14" xfId="0" applyNumberFormat="1" applyFont="1" applyFill="1" applyBorder="1" applyAlignment="1" applyProtection="1">
      <alignment horizontal="right"/>
      <protection/>
    </xf>
    <xf numFmtId="3" fontId="0" fillId="33" borderId="15" xfId="0" applyNumberFormat="1" applyFont="1" applyFill="1" applyBorder="1" applyAlignment="1" applyProtection="1">
      <alignment horizontal="right"/>
      <protection/>
    </xf>
    <xf numFmtId="3" fontId="0" fillId="33" borderId="16" xfId="0" applyNumberFormat="1" applyFont="1" applyFill="1" applyBorder="1" applyAlignment="1" applyProtection="1">
      <alignment horizontal="right"/>
      <protection/>
    </xf>
    <xf numFmtId="0" fontId="6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62" fillId="0" borderId="0" xfId="0" applyFont="1" applyAlignment="1">
      <alignment/>
    </xf>
    <xf numFmtId="0" fontId="62" fillId="0" borderId="0" xfId="0" applyFont="1" applyBorder="1" applyAlignment="1">
      <alignment/>
    </xf>
    <xf numFmtId="3" fontId="9" fillId="33" borderId="18" xfId="0" applyNumberFormat="1" applyFont="1" applyFill="1" applyBorder="1" applyAlignment="1" applyProtection="1">
      <alignment horizontal="right"/>
      <protection/>
    </xf>
    <xf numFmtId="3" fontId="9" fillId="33" borderId="19" xfId="0" applyNumberFormat="1" applyFont="1" applyFill="1" applyBorder="1" applyAlignment="1" applyProtection="1">
      <alignment horizontal="right"/>
      <protection/>
    </xf>
    <xf numFmtId="3" fontId="9" fillId="33" borderId="20" xfId="0" applyNumberFormat="1" applyFont="1" applyFill="1" applyBorder="1" applyAlignment="1" applyProtection="1">
      <alignment horizontal="right"/>
      <protection/>
    </xf>
    <xf numFmtId="3" fontId="9" fillId="0" borderId="21" xfId="0" applyNumberFormat="1" applyFont="1" applyBorder="1" applyAlignment="1" applyProtection="1">
      <alignment horizontal="right"/>
      <protection/>
    </xf>
    <xf numFmtId="3" fontId="13" fillId="0" borderId="0" xfId="0" applyNumberFormat="1" applyFont="1" applyAlignment="1">
      <alignment/>
    </xf>
    <xf numFmtId="3" fontId="9" fillId="0" borderId="22" xfId="0" applyNumberFormat="1" applyFont="1" applyBorder="1" applyAlignment="1" applyProtection="1">
      <alignment horizontal="right"/>
      <protection/>
    </xf>
    <xf numFmtId="3" fontId="8" fillId="0" borderId="22" xfId="0" applyNumberFormat="1" applyFont="1" applyBorder="1" applyAlignment="1" applyProtection="1">
      <alignment horizontal="right"/>
      <protection/>
    </xf>
    <xf numFmtId="3" fontId="9" fillId="0" borderId="23" xfId="0" applyNumberFormat="1" applyFont="1" applyBorder="1" applyAlignment="1" applyProtection="1">
      <alignment horizontal="right"/>
      <protection/>
    </xf>
    <xf numFmtId="3" fontId="9" fillId="0" borderId="24" xfId="0" applyNumberFormat="1" applyFont="1" applyBorder="1" applyAlignment="1" applyProtection="1">
      <alignment horizontal="right"/>
      <protection/>
    </xf>
    <xf numFmtId="3" fontId="9" fillId="0" borderId="25" xfId="0" applyNumberFormat="1" applyFont="1" applyBorder="1" applyAlignment="1" applyProtection="1">
      <alignment horizontal="right"/>
      <protection/>
    </xf>
    <xf numFmtId="3" fontId="9" fillId="0" borderId="26" xfId="0" applyNumberFormat="1" applyFont="1" applyBorder="1" applyAlignment="1" applyProtection="1">
      <alignment horizontal="right"/>
      <protection/>
    </xf>
    <xf numFmtId="3" fontId="9" fillId="0" borderId="27" xfId="0" applyNumberFormat="1" applyFont="1" applyBorder="1" applyAlignment="1" applyProtection="1">
      <alignment horizontal="right"/>
      <protection/>
    </xf>
    <xf numFmtId="3" fontId="9" fillId="0" borderId="28" xfId="0" applyNumberFormat="1" applyFont="1" applyBorder="1" applyAlignment="1" applyProtection="1">
      <alignment horizontal="right"/>
      <protection/>
    </xf>
    <xf numFmtId="3" fontId="9" fillId="0" borderId="29" xfId="0" applyNumberFormat="1" applyFont="1" applyBorder="1" applyAlignment="1" applyProtection="1">
      <alignment horizontal="right"/>
      <protection/>
    </xf>
    <xf numFmtId="3" fontId="9" fillId="0" borderId="30" xfId="0" applyNumberFormat="1" applyFont="1" applyBorder="1" applyAlignment="1" applyProtection="1">
      <alignment horizontal="right"/>
      <protection/>
    </xf>
    <xf numFmtId="3" fontId="9" fillId="33" borderId="31" xfId="0" applyNumberFormat="1" applyFont="1" applyFill="1" applyBorder="1" applyAlignment="1">
      <alignment horizontal="right" vertical="center" wrapText="1"/>
    </xf>
    <xf numFmtId="3" fontId="9" fillId="33" borderId="32" xfId="0" applyNumberFormat="1" applyFont="1" applyFill="1" applyBorder="1" applyAlignment="1">
      <alignment horizontal="right" vertical="center" wrapText="1"/>
    </xf>
    <xf numFmtId="3" fontId="8" fillId="33" borderId="33" xfId="0" applyNumberFormat="1" applyFont="1" applyFill="1" applyBorder="1" applyAlignment="1" applyProtection="1">
      <alignment horizontal="right"/>
      <protection/>
    </xf>
    <xf numFmtId="3" fontId="8" fillId="33" borderId="34" xfId="0" applyNumberFormat="1" applyFont="1" applyFill="1" applyBorder="1" applyAlignment="1" applyProtection="1">
      <alignment horizontal="right"/>
      <protection/>
    </xf>
    <xf numFmtId="3" fontId="8" fillId="33" borderId="35" xfId="0" applyNumberFormat="1" applyFont="1" applyFill="1" applyBorder="1" applyAlignment="1" applyProtection="1">
      <alignment horizontal="right"/>
      <protection/>
    </xf>
    <xf numFmtId="3" fontId="8" fillId="33" borderId="36" xfId="0" applyNumberFormat="1" applyFont="1" applyFill="1" applyBorder="1" applyAlignment="1" applyProtection="1">
      <alignment horizontal="right"/>
      <protection/>
    </xf>
    <xf numFmtId="3" fontId="8" fillId="33" borderId="37" xfId="0" applyNumberFormat="1" applyFont="1" applyFill="1" applyBorder="1" applyAlignment="1" applyProtection="1">
      <alignment horizontal="right"/>
      <protection/>
    </xf>
    <xf numFmtId="0" fontId="10" fillId="0" borderId="38" xfId="0" applyFont="1" applyBorder="1" applyAlignment="1" applyProtection="1">
      <alignment horizont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/>
      <protection/>
    </xf>
    <xf numFmtId="0" fontId="10" fillId="0" borderId="40" xfId="0" applyFont="1" applyBorder="1" applyAlignment="1" applyProtection="1">
      <alignment horizontal="center"/>
      <protection/>
    </xf>
    <xf numFmtId="0" fontId="10" fillId="0" borderId="41" xfId="0" applyFont="1" applyBorder="1" applyAlignment="1" applyProtection="1">
      <alignment horizontal="center"/>
      <protection/>
    </xf>
    <xf numFmtId="0" fontId="10" fillId="0" borderId="42" xfId="0" applyFont="1" applyBorder="1" applyAlignment="1" applyProtection="1">
      <alignment horizontal="center"/>
      <protection/>
    </xf>
    <xf numFmtId="3" fontId="8" fillId="33" borderId="43" xfId="0" applyNumberFormat="1" applyFont="1" applyFill="1" applyBorder="1" applyAlignment="1" applyProtection="1">
      <alignment horizontal="right"/>
      <protection/>
    </xf>
    <xf numFmtId="3" fontId="9" fillId="33" borderId="18" xfId="0" applyNumberFormat="1" applyFont="1" applyFill="1" applyBorder="1" applyAlignment="1">
      <alignment horizontal="right" vertical="center" wrapText="1"/>
    </xf>
    <xf numFmtId="3" fontId="9" fillId="33" borderId="19" xfId="0" applyNumberFormat="1" applyFont="1" applyFill="1" applyBorder="1" applyAlignment="1">
      <alignment horizontal="right" vertical="center" wrapText="1"/>
    </xf>
    <xf numFmtId="3" fontId="8" fillId="33" borderId="10" xfId="0" applyNumberFormat="1" applyFont="1" applyFill="1" applyBorder="1" applyAlignment="1" applyProtection="1">
      <alignment horizontal="right"/>
      <protection/>
    </xf>
    <xf numFmtId="0" fontId="10" fillId="34" borderId="44" xfId="0" applyFont="1" applyFill="1" applyBorder="1" applyAlignment="1" applyProtection="1">
      <alignment horizontal="center" textRotation="90"/>
      <protection/>
    </xf>
    <xf numFmtId="0" fontId="10" fillId="34" borderId="10" xfId="0" applyFont="1" applyFill="1" applyBorder="1" applyAlignment="1" applyProtection="1">
      <alignment horizontal="center" textRotation="90"/>
      <protection/>
    </xf>
    <xf numFmtId="3" fontId="9" fillId="0" borderId="45" xfId="0" applyNumberFormat="1" applyFont="1" applyBorder="1" applyAlignment="1" applyProtection="1">
      <alignment horizontal="right"/>
      <protection/>
    </xf>
    <xf numFmtId="3" fontId="9" fillId="0" borderId="46" xfId="0" applyNumberFormat="1" applyFont="1" applyBorder="1" applyAlignment="1" applyProtection="1">
      <alignment horizontal="right"/>
      <protection/>
    </xf>
    <xf numFmtId="3" fontId="9" fillId="0" borderId="47" xfId="0" applyNumberFormat="1" applyFont="1" applyBorder="1" applyAlignment="1" applyProtection="1">
      <alignment horizontal="right"/>
      <protection/>
    </xf>
    <xf numFmtId="3" fontId="9" fillId="0" borderId="18" xfId="0" applyNumberFormat="1" applyFont="1" applyBorder="1" applyAlignment="1" applyProtection="1">
      <alignment horizontal="right"/>
      <protection/>
    </xf>
    <xf numFmtId="3" fontId="9" fillId="0" borderId="19" xfId="0" applyNumberFormat="1" applyFont="1" applyBorder="1" applyAlignment="1" applyProtection="1">
      <alignment horizontal="right"/>
      <protection/>
    </xf>
    <xf numFmtId="0" fontId="10" fillId="0" borderId="33" xfId="0" applyFont="1" applyBorder="1" applyAlignment="1" applyProtection="1">
      <alignment horizontal="left"/>
      <protection/>
    </xf>
    <xf numFmtId="0" fontId="10" fillId="0" borderId="36" xfId="0" applyFont="1" applyBorder="1" applyAlignment="1" applyProtection="1">
      <alignment horizontal="left"/>
      <protection/>
    </xf>
    <xf numFmtId="0" fontId="10" fillId="33" borderId="33" xfId="0" applyFont="1" applyFill="1" applyBorder="1" applyAlignment="1" applyProtection="1">
      <alignment horizontal="left"/>
      <protection/>
    </xf>
    <xf numFmtId="3" fontId="9" fillId="0" borderId="31" xfId="0" applyNumberFormat="1" applyFont="1" applyBorder="1" applyAlignment="1" applyProtection="1">
      <alignment horizontal="right"/>
      <protection/>
    </xf>
    <xf numFmtId="3" fontId="9" fillId="0" borderId="32" xfId="0" applyNumberFormat="1" applyFont="1" applyBorder="1" applyAlignment="1" applyProtection="1">
      <alignment horizontal="right"/>
      <protection/>
    </xf>
    <xf numFmtId="3" fontId="8" fillId="0" borderId="13" xfId="0" applyNumberFormat="1" applyFont="1" applyBorder="1" applyAlignment="1" applyProtection="1">
      <alignment horizontal="right"/>
      <protection/>
    </xf>
    <xf numFmtId="3" fontId="8" fillId="0" borderId="26" xfId="0" applyNumberFormat="1" applyFont="1" applyBorder="1" applyAlignment="1" applyProtection="1">
      <alignment horizontal="right"/>
      <protection/>
    </xf>
    <xf numFmtId="3" fontId="8" fillId="0" borderId="27" xfId="0" applyNumberFormat="1" applyFont="1" applyBorder="1" applyAlignment="1" applyProtection="1">
      <alignment horizontal="right"/>
      <protection/>
    </xf>
    <xf numFmtId="3" fontId="8" fillId="0" borderId="30" xfId="0" applyNumberFormat="1" applyFont="1" applyBorder="1" applyAlignment="1" applyProtection="1">
      <alignment horizontal="right"/>
      <protection/>
    </xf>
    <xf numFmtId="3" fontId="8" fillId="35" borderId="14" xfId="0" applyNumberFormat="1" applyFont="1" applyFill="1" applyBorder="1" applyAlignment="1" applyProtection="1">
      <alignment horizontal="center"/>
      <protection/>
    </xf>
    <xf numFmtId="3" fontId="8" fillId="35" borderId="16" xfId="0" applyNumberFormat="1" applyFont="1" applyFill="1" applyBorder="1" applyAlignment="1" applyProtection="1">
      <alignment horizontal="center"/>
      <protection/>
    </xf>
    <xf numFmtId="9" fontId="8" fillId="36" borderId="18" xfId="54" applyNumberFormat="1" applyFont="1" applyFill="1" applyBorder="1" applyAlignment="1" applyProtection="1">
      <alignment horizontal="center"/>
      <protection/>
    </xf>
    <xf numFmtId="9" fontId="8" fillId="36" borderId="19" xfId="54" applyNumberFormat="1" applyFont="1" applyFill="1" applyBorder="1" applyAlignment="1" applyProtection="1">
      <alignment horizontal="center"/>
      <protection/>
    </xf>
    <xf numFmtId="3" fontId="8" fillId="35" borderId="43" xfId="0" applyNumberFormat="1" applyFont="1" applyFill="1" applyBorder="1" applyAlignment="1" applyProtection="1">
      <alignment horizontal="center"/>
      <protection/>
    </xf>
    <xf numFmtId="9" fontId="8" fillId="36" borderId="10" xfId="54" applyNumberFormat="1" applyFont="1" applyFill="1" applyBorder="1" applyAlignment="1" applyProtection="1">
      <alignment horizontal="center"/>
      <protection/>
    </xf>
    <xf numFmtId="3" fontId="8" fillId="33" borderId="10" xfId="0" applyNumberFormat="1" applyFont="1" applyFill="1" applyBorder="1" applyAlignment="1">
      <alignment horizontal="right" vertical="center" wrapText="1"/>
    </xf>
    <xf numFmtId="0" fontId="10" fillId="35" borderId="10" xfId="0" applyFont="1" applyFill="1" applyBorder="1" applyAlignment="1" applyProtection="1">
      <alignment horizontal="center"/>
      <protection/>
    </xf>
    <xf numFmtId="0" fontId="10" fillId="35" borderId="48" xfId="0" applyFont="1" applyFill="1" applyBorder="1" applyAlignment="1" applyProtection="1">
      <alignment horizontal="center"/>
      <protection/>
    </xf>
    <xf numFmtId="0" fontId="10" fillId="36" borderId="10" xfId="0" applyFont="1" applyFill="1" applyBorder="1" applyAlignment="1" applyProtection="1">
      <alignment horizontal="center"/>
      <protection/>
    </xf>
    <xf numFmtId="0" fontId="10" fillId="0" borderId="37" xfId="0" applyFont="1" applyBorder="1" applyAlignment="1" applyProtection="1">
      <alignment horizontal="left"/>
      <protection/>
    </xf>
    <xf numFmtId="0" fontId="10" fillId="0" borderId="35" xfId="0" applyFont="1" applyBorder="1" applyAlignment="1" applyProtection="1">
      <alignment horizontal="left"/>
      <protection/>
    </xf>
    <xf numFmtId="0" fontId="6" fillId="34" borderId="49" xfId="0" applyFont="1" applyFill="1" applyBorder="1" applyAlignment="1" applyProtection="1">
      <alignment horizontal="center" textRotation="90"/>
      <protection/>
    </xf>
    <xf numFmtId="0" fontId="6" fillId="0" borderId="40" xfId="0" applyFont="1" applyBorder="1" applyAlignment="1" applyProtection="1">
      <alignment horizontal="center"/>
      <protection/>
    </xf>
    <xf numFmtId="3" fontId="13" fillId="33" borderId="18" xfId="0" applyNumberFormat="1" applyFont="1" applyFill="1" applyBorder="1" applyAlignment="1" applyProtection="1">
      <alignment horizontal="right"/>
      <protection/>
    </xf>
    <xf numFmtId="3" fontId="13" fillId="33" borderId="19" xfId="0" applyNumberFormat="1" applyFont="1" applyFill="1" applyBorder="1" applyAlignment="1" applyProtection="1">
      <alignment horizontal="right"/>
      <protection/>
    </xf>
    <xf numFmtId="3" fontId="12" fillId="33" borderId="10" xfId="0" applyNumberFormat="1" applyFont="1" applyFill="1" applyBorder="1" applyAlignment="1" applyProtection="1">
      <alignment horizontal="right"/>
      <protection/>
    </xf>
    <xf numFmtId="0" fontId="6" fillId="0" borderId="38" xfId="0" applyFont="1" applyBorder="1" applyAlignment="1" applyProtection="1">
      <alignment horizontal="center"/>
      <protection/>
    </xf>
    <xf numFmtId="0" fontId="6" fillId="0" borderId="50" xfId="0" applyFont="1" applyBorder="1" applyAlignment="1" applyProtection="1">
      <alignment horizontal="left"/>
      <protection/>
    </xf>
    <xf numFmtId="3" fontId="13" fillId="0" borderId="45" xfId="0" applyNumberFormat="1" applyFont="1" applyBorder="1" applyAlignment="1" applyProtection="1">
      <alignment horizontal="right"/>
      <protection/>
    </xf>
    <xf numFmtId="3" fontId="13" fillId="0" borderId="46" xfId="0" applyNumberFormat="1" applyFont="1" applyBorder="1" applyAlignment="1" applyProtection="1">
      <alignment horizontal="right"/>
      <protection/>
    </xf>
    <xf numFmtId="3" fontId="13" fillId="0" borderId="46" xfId="0" applyNumberFormat="1" applyFont="1" applyFill="1" applyBorder="1" applyAlignment="1" applyProtection="1">
      <alignment horizontal="right"/>
      <protection/>
    </xf>
    <xf numFmtId="3" fontId="12" fillId="33" borderId="37" xfId="0" applyNumberFormat="1" applyFont="1" applyFill="1" applyBorder="1" applyAlignment="1" applyProtection="1">
      <alignment horizontal="right"/>
      <protection/>
    </xf>
    <xf numFmtId="0" fontId="6" fillId="0" borderId="39" xfId="0" applyFont="1" applyBorder="1" applyAlignment="1" applyProtection="1">
      <alignment horizontal="center"/>
      <protection/>
    </xf>
    <xf numFmtId="3" fontId="13" fillId="0" borderId="30" xfId="0" applyNumberFormat="1" applyFont="1" applyBorder="1" applyAlignment="1" applyProtection="1">
      <alignment horizontal="right"/>
      <protection/>
    </xf>
    <xf numFmtId="3" fontId="13" fillId="0" borderId="30" xfId="0" applyNumberFormat="1" applyFont="1" applyFill="1" applyBorder="1" applyAlignment="1" applyProtection="1">
      <alignment horizontal="right"/>
      <protection/>
    </xf>
    <xf numFmtId="3" fontId="12" fillId="33" borderId="35" xfId="0" applyNumberFormat="1" applyFont="1" applyFill="1" applyBorder="1" applyAlignment="1" applyProtection="1">
      <alignment horizontal="right"/>
      <protection/>
    </xf>
    <xf numFmtId="0" fontId="6" fillId="0" borderId="51" xfId="0" applyFont="1" applyBorder="1" applyAlignment="1" applyProtection="1">
      <alignment horizontal="center"/>
      <protection/>
    </xf>
    <xf numFmtId="3" fontId="13" fillId="0" borderId="46" xfId="0" applyNumberFormat="1" applyFont="1" applyFill="1" applyBorder="1" applyAlignment="1">
      <alignment horizontal="right"/>
    </xf>
    <xf numFmtId="3" fontId="12" fillId="33" borderId="33" xfId="0" applyNumberFormat="1" applyFont="1" applyFill="1" applyBorder="1" applyAlignment="1" applyProtection="1">
      <alignment horizontal="right"/>
      <protection/>
    </xf>
    <xf numFmtId="0" fontId="6" fillId="0" borderId="52" xfId="0" applyFont="1" applyBorder="1" applyAlignment="1" applyProtection="1">
      <alignment horizontal="center"/>
      <protection/>
    </xf>
    <xf numFmtId="3" fontId="13" fillId="0" borderId="22" xfId="0" applyNumberFormat="1" applyFont="1" applyBorder="1" applyAlignment="1" applyProtection="1">
      <alignment horizontal="right"/>
      <protection/>
    </xf>
    <xf numFmtId="3" fontId="13" fillId="0" borderId="13" xfId="0" applyNumberFormat="1" applyFont="1" applyBorder="1" applyAlignment="1" applyProtection="1">
      <alignment horizontal="right"/>
      <protection/>
    </xf>
    <xf numFmtId="3" fontId="13" fillId="0" borderId="13" xfId="0" applyNumberFormat="1" applyFont="1" applyFill="1" applyBorder="1" applyAlignment="1" applyProtection="1">
      <alignment horizontal="right"/>
      <protection/>
    </xf>
    <xf numFmtId="3" fontId="13" fillId="0" borderId="13" xfId="0" applyNumberFormat="1" applyFont="1" applyFill="1" applyBorder="1" applyAlignment="1">
      <alignment horizontal="right"/>
    </xf>
    <xf numFmtId="3" fontId="12" fillId="33" borderId="34" xfId="0" applyNumberFormat="1" applyFont="1" applyFill="1" applyBorder="1" applyAlignment="1" applyProtection="1">
      <alignment horizontal="right"/>
      <protection/>
    </xf>
    <xf numFmtId="3" fontId="13" fillId="0" borderId="23" xfId="0" applyNumberFormat="1" applyFont="1" applyBorder="1" applyAlignment="1" applyProtection="1">
      <alignment horizontal="right"/>
      <protection/>
    </xf>
    <xf numFmtId="3" fontId="13" fillId="0" borderId="24" xfId="0" applyNumberFormat="1" applyFont="1" applyBorder="1" applyAlignment="1" applyProtection="1">
      <alignment horizontal="right"/>
      <protection/>
    </xf>
    <xf numFmtId="3" fontId="13" fillId="0" borderId="24" xfId="0" applyNumberFormat="1" applyFont="1" applyFill="1" applyBorder="1" applyAlignment="1" applyProtection="1">
      <alignment horizontal="right"/>
      <protection/>
    </xf>
    <xf numFmtId="3" fontId="13" fillId="0" borderId="24" xfId="0" applyNumberFormat="1" applyFont="1" applyFill="1" applyBorder="1" applyAlignment="1">
      <alignment horizontal="right"/>
    </xf>
    <xf numFmtId="3" fontId="12" fillId="33" borderId="36" xfId="0" applyNumberFormat="1" applyFont="1" applyFill="1" applyBorder="1" applyAlignment="1" applyProtection="1">
      <alignment horizontal="right"/>
      <protection/>
    </xf>
    <xf numFmtId="3" fontId="13" fillId="0" borderId="18" xfId="0" applyNumberFormat="1" applyFont="1" applyBorder="1" applyAlignment="1" applyProtection="1">
      <alignment horizontal="right"/>
      <protection/>
    </xf>
    <xf numFmtId="3" fontId="13" fillId="0" borderId="19" xfId="0" applyNumberFormat="1" applyFont="1" applyBorder="1" applyAlignment="1" applyProtection="1">
      <alignment horizontal="right"/>
      <protection/>
    </xf>
    <xf numFmtId="3" fontId="12" fillId="33" borderId="53" xfId="0" applyNumberFormat="1" applyFont="1" applyFill="1" applyBorder="1" applyAlignment="1" applyProtection="1">
      <alignment horizontal="right"/>
      <protection/>
    </xf>
    <xf numFmtId="3" fontId="13" fillId="0" borderId="45" xfId="0" applyNumberFormat="1" applyFont="1" applyBorder="1" applyAlignment="1">
      <alignment horizontal="right"/>
    </xf>
    <xf numFmtId="3" fontId="13" fillId="0" borderId="46" xfId="0" applyNumberFormat="1" applyFont="1" applyBorder="1" applyAlignment="1">
      <alignment horizontal="right"/>
    </xf>
    <xf numFmtId="3" fontId="13" fillId="0" borderId="23" xfId="0" applyNumberFormat="1" applyFont="1" applyBorder="1" applyAlignment="1">
      <alignment horizontal="right"/>
    </xf>
    <xf numFmtId="3" fontId="13" fillId="0" borderId="24" xfId="0" applyNumberFormat="1" applyFont="1" applyBorder="1" applyAlignment="1">
      <alignment horizontal="right"/>
    </xf>
    <xf numFmtId="0" fontId="6" fillId="0" borderId="39" xfId="0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left"/>
      <protection/>
    </xf>
    <xf numFmtId="0" fontId="6" fillId="0" borderId="55" xfId="0" applyFont="1" applyBorder="1" applyAlignment="1" applyProtection="1">
      <alignment horizontal="center"/>
      <protection/>
    </xf>
    <xf numFmtId="3" fontId="12" fillId="0" borderId="45" xfId="0" applyNumberFormat="1" applyFont="1" applyBorder="1" applyAlignment="1" applyProtection="1">
      <alignment horizontal="right"/>
      <protection/>
    </xf>
    <xf numFmtId="3" fontId="12" fillId="0" borderId="46" xfId="0" applyNumberFormat="1" applyFont="1" applyBorder="1" applyAlignment="1" applyProtection="1">
      <alignment horizontal="right"/>
      <protection/>
    </xf>
    <xf numFmtId="0" fontId="6" fillId="0" borderId="56" xfId="0" applyFont="1" applyBorder="1" applyAlignment="1" applyProtection="1">
      <alignment horizontal="center"/>
      <protection/>
    </xf>
    <xf numFmtId="3" fontId="12" fillId="0" borderId="22" xfId="0" applyNumberFormat="1" applyFont="1" applyBorder="1" applyAlignment="1" applyProtection="1">
      <alignment horizontal="right"/>
      <protection/>
    </xf>
    <xf numFmtId="3" fontId="12" fillId="0" borderId="13" xfId="0" applyNumberFormat="1" applyFont="1" applyBorder="1" applyAlignment="1" applyProtection="1">
      <alignment horizontal="right"/>
      <protection/>
    </xf>
    <xf numFmtId="0" fontId="6" fillId="0" borderId="57" xfId="0" applyFont="1" applyBorder="1" applyAlignment="1" applyProtection="1">
      <alignment horizontal="center"/>
      <protection/>
    </xf>
    <xf numFmtId="3" fontId="12" fillId="0" borderId="23" xfId="0" applyNumberFormat="1" applyFont="1" applyBorder="1" applyAlignment="1" applyProtection="1">
      <alignment horizontal="right"/>
      <protection/>
    </xf>
    <xf numFmtId="3" fontId="12" fillId="0" borderId="24" xfId="0" applyNumberFormat="1" applyFont="1" applyBorder="1" applyAlignment="1" applyProtection="1">
      <alignment horizontal="right"/>
      <protection/>
    </xf>
    <xf numFmtId="0" fontId="6" fillId="36" borderId="50" xfId="0" applyFont="1" applyFill="1" applyBorder="1" applyAlignment="1" applyProtection="1">
      <alignment horizontal="center"/>
      <protection/>
    </xf>
    <xf numFmtId="9" fontId="12" fillId="36" borderId="18" xfId="54" applyNumberFormat="1" applyFont="1" applyFill="1" applyBorder="1" applyAlignment="1" applyProtection="1">
      <alignment horizontal="center"/>
      <protection/>
    </xf>
    <xf numFmtId="9" fontId="12" fillId="36" borderId="19" xfId="54" applyNumberFormat="1" applyFont="1" applyFill="1" applyBorder="1" applyAlignment="1" applyProtection="1">
      <alignment horizontal="center"/>
      <protection/>
    </xf>
    <xf numFmtId="9" fontId="12" fillId="36" borderId="10" xfId="54" applyNumberFormat="1" applyFont="1" applyFill="1" applyBorder="1" applyAlignment="1" applyProtection="1">
      <alignment horizontal="center"/>
      <protection/>
    </xf>
    <xf numFmtId="0" fontId="6" fillId="34" borderId="50" xfId="0" applyFont="1" applyFill="1" applyBorder="1" applyAlignment="1" applyProtection="1">
      <alignment horizontal="center" vertical="center" wrapText="1"/>
      <protection/>
    </xf>
    <xf numFmtId="9" fontId="12" fillId="34" borderId="18" xfId="54" applyNumberFormat="1" applyFont="1" applyFill="1" applyBorder="1" applyAlignment="1" applyProtection="1">
      <alignment horizontal="center" vertical="center" wrapText="1"/>
      <protection/>
    </xf>
    <xf numFmtId="9" fontId="12" fillId="34" borderId="19" xfId="54" applyNumberFormat="1" applyFont="1" applyFill="1" applyBorder="1" applyAlignment="1" applyProtection="1">
      <alignment horizontal="center" vertical="center" wrapText="1"/>
      <protection/>
    </xf>
    <xf numFmtId="9" fontId="12" fillId="34" borderId="53" xfId="54" applyNumberFormat="1" applyFont="1" applyFill="1" applyBorder="1" applyAlignment="1" applyProtection="1">
      <alignment horizontal="center" vertical="center" wrapText="1"/>
      <protection/>
    </xf>
    <xf numFmtId="0" fontId="6" fillId="34" borderId="50" xfId="0" applyFont="1" applyFill="1" applyBorder="1" applyAlignment="1" applyProtection="1">
      <alignment horizontal="center" vertical="center"/>
      <protection/>
    </xf>
    <xf numFmtId="0" fontId="10" fillId="34" borderId="54" xfId="0" applyFont="1" applyFill="1" applyBorder="1" applyAlignment="1" applyProtection="1">
      <alignment horizontal="center" vertical="center" wrapText="1"/>
      <protection/>
    </xf>
    <xf numFmtId="9" fontId="8" fillId="34" borderId="31" xfId="54" applyNumberFormat="1" applyFont="1" applyFill="1" applyBorder="1" applyAlignment="1" applyProtection="1">
      <alignment horizontal="center" vertical="center" wrapText="1"/>
      <protection/>
    </xf>
    <xf numFmtId="9" fontId="8" fillId="34" borderId="32" xfId="54" applyNumberFormat="1" applyFont="1" applyFill="1" applyBorder="1" applyAlignment="1" applyProtection="1">
      <alignment horizontal="center" vertical="center" wrapText="1"/>
      <protection/>
    </xf>
    <xf numFmtId="9" fontId="8" fillId="34" borderId="10" xfId="54" applyNumberFormat="1" applyFont="1" applyFill="1" applyBorder="1" applyAlignment="1" applyProtection="1">
      <alignment horizontal="center" vertical="center" wrapText="1"/>
      <protection/>
    </xf>
    <xf numFmtId="0" fontId="10" fillId="34" borderId="50" xfId="0" applyFont="1" applyFill="1" applyBorder="1" applyAlignment="1" applyProtection="1">
      <alignment horizontal="center" vertical="center"/>
      <protection/>
    </xf>
    <xf numFmtId="0" fontId="6" fillId="37" borderId="50" xfId="0" applyFont="1" applyFill="1" applyBorder="1" applyAlignment="1" applyProtection="1">
      <alignment horizontal="center"/>
      <protection/>
    </xf>
    <xf numFmtId="3" fontId="12" fillId="37" borderId="14" xfId="0" applyNumberFormat="1" applyFont="1" applyFill="1" applyBorder="1" applyAlignment="1" applyProtection="1">
      <alignment horizontal="center"/>
      <protection/>
    </xf>
    <xf numFmtId="3" fontId="12" fillId="37" borderId="16" xfId="0" applyNumberFormat="1" applyFont="1" applyFill="1" applyBorder="1" applyAlignment="1" applyProtection="1">
      <alignment horizontal="center"/>
      <protection/>
    </xf>
    <xf numFmtId="3" fontId="12" fillId="37" borderId="43" xfId="0" applyNumberFormat="1" applyFont="1" applyFill="1" applyBorder="1" applyAlignment="1" applyProtection="1">
      <alignment horizontal="center"/>
      <protection/>
    </xf>
    <xf numFmtId="0" fontId="6" fillId="37" borderId="50" xfId="0" applyFont="1" applyFill="1" applyBorder="1" applyAlignment="1" applyProtection="1">
      <alignment horizontal="left"/>
      <protection/>
    </xf>
    <xf numFmtId="3" fontId="12" fillId="37" borderId="10" xfId="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>
      <alignment/>
    </xf>
    <xf numFmtId="3" fontId="8" fillId="0" borderId="29" xfId="0" applyNumberFormat="1" applyFont="1" applyBorder="1" applyAlignment="1" applyProtection="1">
      <alignment horizontal="right"/>
      <protection/>
    </xf>
    <xf numFmtId="20" fontId="9" fillId="0" borderId="0" xfId="0" applyNumberFormat="1" applyFont="1" applyAlignment="1">
      <alignment/>
    </xf>
    <xf numFmtId="3" fontId="13" fillId="0" borderId="58" xfId="0" applyNumberFormat="1" applyFont="1" applyBorder="1" applyAlignment="1" applyProtection="1">
      <alignment horizontal="right"/>
      <protection/>
    </xf>
    <xf numFmtId="3" fontId="12" fillId="33" borderId="49" xfId="0" applyNumberFormat="1" applyFont="1" applyFill="1" applyBorder="1" applyAlignment="1" applyProtection="1">
      <alignment horizontal="right"/>
      <protection/>
    </xf>
    <xf numFmtId="0" fontId="6" fillId="37" borderId="50" xfId="0" applyFont="1" applyFill="1" applyBorder="1" applyAlignment="1" applyProtection="1">
      <alignment horizontal="left"/>
      <protection/>
    </xf>
    <xf numFmtId="3" fontId="13" fillId="37" borderId="18" xfId="0" applyNumberFormat="1" applyFont="1" applyFill="1" applyBorder="1" applyAlignment="1" applyProtection="1">
      <alignment horizontal="right"/>
      <protection/>
    </xf>
    <xf numFmtId="3" fontId="13" fillId="37" borderId="19" xfId="0" applyNumberFormat="1" applyFont="1" applyFill="1" applyBorder="1" applyAlignment="1" applyProtection="1">
      <alignment horizontal="right"/>
      <protection/>
    </xf>
    <xf numFmtId="3" fontId="13" fillId="33" borderId="18" xfId="0" applyNumberFormat="1" applyFont="1" applyFill="1" applyBorder="1" applyAlignment="1">
      <alignment horizontal="right" vertical="center"/>
    </xf>
    <xf numFmtId="3" fontId="13" fillId="33" borderId="19" xfId="0" applyNumberFormat="1" applyFont="1" applyFill="1" applyBorder="1" applyAlignment="1">
      <alignment horizontal="right" vertical="center"/>
    </xf>
    <xf numFmtId="3" fontId="12" fillId="33" borderId="53" xfId="0" applyNumberFormat="1" applyFont="1" applyFill="1" applyBorder="1" applyAlignment="1" applyProtection="1">
      <alignment horizontal="right" vertical="center"/>
      <protection/>
    </xf>
    <xf numFmtId="3" fontId="9" fillId="33" borderId="20" xfId="0" applyNumberFormat="1" applyFont="1" applyFill="1" applyBorder="1" applyAlignment="1">
      <alignment horizontal="right" vertical="center" wrapText="1"/>
    </xf>
    <xf numFmtId="3" fontId="8" fillId="0" borderId="28" xfId="0" applyNumberFormat="1" applyFont="1" applyBorder="1" applyAlignment="1" applyProtection="1">
      <alignment horizontal="right"/>
      <protection/>
    </xf>
    <xf numFmtId="3" fontId="8" fillId="0" borderId="21" xfId="0" applyNumberFormat="1" applyFont="1" applyBorder="1" applyAlignment="1" applyProtection="1">
      <alignment horizontal="right"/>
      <protection/>
    </xf>
    <xf numFmtId="3" fontId="8" fillId="0" borderId="59" xfId="0" applyNumberFormat="1" applyFont="1" applyBorder="1" applyAlignment="1" applyProtection="1">
      <alignment horizontal="right"/>
      <protection/>
    </xf>
    <xf numFmtId="3" fontId="9" fillId="0" borderId="60" xfId="0" applyNumberFormat="1" applyFont="1" applyBorder="1" applyAlignment="1" applyProtection="1">
      <alignment horizontal="right"/>
      <protection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62" fillId="0" borderId="0" xfId="0" applyNumberFormat="1" applyFont="1" applyBorder="1" applyAlignment="1">
      <alignment/>
    </xf>
    <xf numFmtId="10" fontId="9" fillId="0" borderId="0" xfId="0" applyNumberFormat="1" applyFont="1" applyAlignment="1">
      <alignment/>
    </xf>
    <xf numFmtId="0" fontId="10" fillId="0" borderId="45" xfId="0" applyFont="1" applyBorder="1" applyAlignment="1" applyProtection="1">
      <alignment horizontal="left"/>
      <protection/>
    </xf>
    <xf numFmtId="0" fontId="10" fillId="0" borderId="46" xfId="0" applyFont="1" applyBorder="1" applyAlignment="1" applyProtection="1">
      <alignment horizontal="left"/>
      <protection/>
    </xf>
    <xf numFmtId="0" fontId="10" fillId="0" borderId="61" xfId="0" applyFont="1" applyBorder="1" applyAlignment="1" applyProtection="1">
      <alignment horizontal="left"/>
      <protection/>
    </xf>
    <xf numFmtId="0" fontId="10" fillId="0" borderId="29" xfId="0" applyFont="1" applyBorder="1" applyAlignment="1" applyProtection="1">
      <alignment horizontal="left"/>
      <protection/>
    </xf>
    <xf numFmtId="0" fontId="10" fillId="0" borderId="30" xfId="0" applyFont="1" applyBorder="1" applyAlignment="1" applyProtection="1">
      <alignment horizontal="left"/>
      <protection/>
    </xf>
    <xf numFmtId="0" fontId="10" fillId="0" borderId="62" xfId="0" applyFont="1" applyBorder="1" applyAlignment="1" applyProtection="1">
      <alignment horizontal="left"/>
      <protection/>
    </xf>
    <xf numFmtId="0" fontId="11" fillId="34" borderId="40" xfId="0" applyFont="1" applyFill="1" applyBorder="1" applyAlignment="1" applyProtection="1">
      <alignment horizontal="center" vertical="center" textRotation="255"/>
      <protection/>
    </xf>
    <xf numFmtId="0" fontId="11" fillId="34" borderId="38" xfId="0" applyFont="1" applyFill="1" applyBorder="1" applyAlignment="1" applyProtection="1">
      <alignment horizontal="center" vertical="center" textRotation="255"/>
      <protection/>
    </xf>
    <xf numFmtId="0" fontId="11" fillId="34" borderId="39" xfId="0" applyFont="1" applyFill="1" applyBorder="1" applyAlignment="1" applyProtection="1">
      <alignment horizontal="center" vertical="center" textRotation="255"/>
      <protection/>
    </xf>
    <xf numFmtId="0" fontId="10" fillId="0" borderId="26" xfId="0" applyFont="1" applyBorder="1" applyAlignment="1" applyProtection="1">
      <alignment horizontal="left"/>
      <protection/>
    </xf>
    <xf numFmtId="0" fontId="10" fillId="0" borderId="63" xfId="0" applyFont="1" applyBorder="1" applyAlignment="1" applyProtection="1">
      <alignment horizontal="left"/>
      <protection/>
    </xf>
    <xf numFmtId="0" fontId="10" fillId="0" borderId="22" xfId="0" applyFont="1" applyBorder="1" applyAlignment="1" applyProtection="1">
      <alignment horizontal="left"/>
      <protection/>
    </xf>
    <xf numFmtId="0" fontId="10" fillId="0" borderId="13" xfId="0" applyFont="1" applyBorder="1" applyAlignment="1" applyProtection="1">
      <alignment horizontal="left"/>
      <protection/>
    </xf>
    <xf numFmtId="0" fontId="10" fillId="0" borderId="21" xfId="0" applyFont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 vertical="center" wrapText="1"/>
      <protection/>
    </xf>
    <xf numFmtId="0" fontId="10" fillId="33" borderId="20" xfId="0" applyFont="1" applyFill="1" applyBorder="1" applyAlignment="1" applyProtection="1">
      <alignment horizontal="left" vertical="center" wrapText="1"/>
      <protection/>
    </xf>
    <xf numFmtId="0" fontId="10" fillId="0" borderId="18" xfId="0" applyFont="1" applyBorder="1" applyAlignment="1" applyProtection="1">
      <alignment horizontal="left"/>
      <protection/>
    </xf>
    <xf numFmtId="0" fontId="10" fillId="0" borderId="20" xfId="0" applyFont="1" applyBorder="1" applyAlignment="1" applyProtection="1">
      <alignment horizontal="left"/>
      <protection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10" fillId="34" borderId="18" xfId="0" applyFont="1" applyFill="1" applyBorder="1" applyAlignment="1" applyProtection="1">
      <alignment horizontal="center" vertical="center"/>
      <protection/>
    </xf>
    <xf numFmtId="0" fontId="10" fillId="34" borderId="19" xfId="0" applyFont="1" applyFill="1" applyBorder="1" applyAlignment="1" applyProtection="1">
      <alignment horizontal="center" vertical="center"/>
      <protection/>
    </xf>
    <xf numFmtId="0" fontId="10" fillId="34" borderId="20" xfId="0" applyFont="1" applyFill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left" vertical="center"/>
      <protection/>
    </xf>
    <xf numFmtId="0" fontId="10" fillId="0" borderId="36" xfId="0" applyFont="1" applyBorder="1" applyAlignment="1" applyProtection="1">
      <alignment horizontal="left" vertical="center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19" xfId="0" applyFont="1" applyFill="1" applyBorder="1" applyAlignment="1" applyProtection="1">
      <alignment horizontal="left"/>
      <protection/>
    </xf>
    <xf numFmtId="0" fontId="10" fillId="33" borderId="20" xfId="0" applyFont="1" applyFill="1" applyBorder="1" applyAlignment="1" applyProtection="1">
      <alignment horizontal="left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left" vertical="center"/>
      <protection/>
    </xf>
    <xf numFmtId="0" fontId="10" fillId="0" borderId="20" xfId="0" applyFont="1" applyBorder="1" applyAlignment="1" applyProtection="1">
      <alignment horizontal="left" vertical="center"/>
      <protection/>
    </xf>
    <xf numFmtId="0" fontId="10" fillId="0" borderId="64" xfId="0" applyFont="1" applyBorder="1" applyAlignment="1" applyProtection="1">
      <alignment horizontal="left"/>
      <protection/>
    </xf>
    <xf numFmtId="0" fontId="10" fillId="0" borderId="23" xfId="0" applyFont="1" applyBorder="1" applyAlignment="1" applyProtection="1">
      <alignment horizontal="left"/>
      <protection/>
    </xf>
    <xf numFmtId="0" fontId="10" fillId="0" borderId="65" xfId="0" applyFont="1" applyBorder="1" applyAlignment="1" applyProtection="1">
      <alignment horizontal="left"/>
      <protection/>
    </xf>
    <xf numFmtId="0" fontId="10" fillId="0" borderId="14" xfId="0" applyFont="1" applyBorder="1" applyAlignment="1" applyProtection="1">
      <alignment horizontal="left"/>
      <protection/>
    </xf>
    <xf numFmtId="0" fontId="10" fillId="0" borderId="66" xfId="0" applyFont="1" applyBorder="1" applyAlignment="1" applyProtection="1">
      <alignment horizontal="left"/>
      <protection/>
    </xf>
    <xf numFmtId="0" fontId="10" fillId="0" borderId="42" xfId="0" applyFont="1" applyBorder="1" applyAlignment="1" applyProtection="1">
      <alignment horizontal="center" vertical="center"/>
      <protection/>
    </xf>
    <xf numFmtId="0" fontId="10" fillId="37" borderId="33" xfId="0" applyFont="1" applyFill="1" applyBorder="1" applyAlignment="1" applyProtection="1">
      <alignment horizontal="left" vertical="center"/>
      <protection/>
    </xf>
    <xf numFmtId="0" fontId="10" fillId="37" borderId="36" xfId="0" applyFont="1" applyFill="1" applyBorder="1" applyAlignment="1" applyProtection="1">
      <alignment horizontal="left" vertical="center"/>
      <protection/>
    </xf>
    <xf numFmtId="0" fontId="10" fillId="0" borderId="47" xfId="0" applyFont="1" applyBorder="1" applyAlignment="1" applyProtection="1">
      <alignment horizontal="left"/>
      <protection/>
    </xf>
    <xf numFmtId="0" fontId="10" fillId="0" borderId="41" xfId="0" applyFont="1" applyBorder="1" applyAlignment="1" applyProtection="1">
      <alignment horizontal="center" vertical="center"/>
      <protection/>
    </xf>
    <xf numFmtId="0" fontId="11" fillId="34" borderId="41" xfId="0" applyFont="1" applyFill="1" applyBorder="1" applyAlignment="1" applyProtection="1">
      <alignment horizontal="center" vertical="center" textRotation="255"/>
      <protection/>
    </xf>
    <xf numFmtId="0" fontId="11" fillId="34" borderId="42" xfId="0" applyFont="1" applyFill="1" applyBorder="1" applyAlignment="1" applyProtection="1">
      <alignment horizontal="center" vertical="center" textRotation="255"/>
      <protection/>
    </xf>
    <xf numFmtId="0" fontId="10" fillId="0" borderId="33" xfId="0" applyFont="1" applyBorder="1" applyAlignment="1" applyProtection="1">
      <alignment horizontal="left" vertical="center"/>
      <protection/>
    </xf>
    <xf numFmtId="0" fontId="10" fillId="0" borderId="35" xfId="0" applyFont="1" applyBorder="1" applyAlignment="1" applyProtection="1">
      <alignment horizontal="left" vertical="center"/>
      <protection/>
    </xf>
    <xf numFmtId="0" fontId="10" fillId="0" borderId="24" xfId="0" applyFont="1" applyBorder="1" applyAlignment="1" applyProtection="1">
      <alignment horizontal="left"/>
      <protection/>
    </xf>
    <xf numFmtId="0" fontId="10" fillId="0" borderId="25" xfId="0" applyFont="1" applyBorder="1" applyAlignment="1" applyProtection="1">
      <alignment horizontal="left"/>
      <protection/>
    </xf>
    <xf numFmtId="0" fontId="10" fillId="34" borderId="18" xfId="0" applyFont="1" applyFill="1" applyBorder="1" applyAlignment="1" applyProtection="1">
      <alignment horizontal="left" vertical="center" wrapText="1"/>
      <protection/>
    </xf>
    <xf numFmtId="0" fontId="10" fillId="34" borderId="19" xfId="0" applyFont="1" applyFill="1" applyBorder="1" applyAlignment="1" applyProtection="1">
      <alignment horizontal="left" vertical="center" wrapText="1"/>
      <protection/>
    </xf>
    <xf numFmtId="0" fontId="10" fillId="34" borderId="20" xfId="0" applyFont="1" applyFill="1" applyBorder="1" applyAlignment="1" applyProtection="1">
      <alignment horizontal="left" vertical="center" wrapText="1"/>
      <protection/>
    </xf>
    <xf numFmtId="0" fontId="10" fillId="36" borderId="14" xfId="0" applyFont="1" applyFill="1" applyBorder="1" applyAlignment="1" applyProtection="1">
      <alignment horizontal="left"/>
      <protection/>
    </xf>
    <xf numFmtId="0" fontId="10" fillId="36" borderId="16" xfId="0" applyFont="1" applyFill="1" applyBorder="1" applyAlignment="1" applyProtection="1">
      <alignment horizontal="left"/>
      <protection/>
    </xf>
    <xf numFmtId="0" fontId="10" fillId="36" borderId="66" xfId="0" applyFont="1" applyFill="1" applyBorder="1" applyAlignment="1" applyProtection="1">
      <alignment horizontal="left"/>
      <protection/>
    </xf>
    <xf numFmtId="0" fontId="10" fillId="35" borderId="14" xfId="0" applyFont="1" applyFill="1" applyBorder="1" applyAlignment="1" applyProtection="1">
      <alignment horizontal="left"/>
      <protection/>
    </xf>
    <xf numFmtId="0" fontId="10" fillId="35" borderId="67" xfId="0" applyFont="1" applyFill="1" applyBorder="1" applyAlignment="1" applyProtection="1">
      <alignment horizontal="left"/>
      <protection/>
    </xf>
    <xf numFmtId="0" fontId="0" fillId="0" borderId="0" xfId="0" applyFill="1" applyBorder="1" applyAlignment="1">
      <alignment horizontal="center"/>
    </xf>
    <xf numFmtId="0" fontId="6" fillId="0" borderId="50" xfId="0" applyFont="1" applyBorder="1" applyAlignment="1" applyProtection="1">
      <alignment horizontal="left"/>
      <protection/>
    </xf>
    <xf numFmtId="0" fontId="6" fillId="0" borderId="68" xfId="0" applyFont="1" applyBorder="1" applyAlignment="1" applyProtection="1">
      <alignment horizontal="left"/>
      <protection/>
    </xf>
    <xf numFmtId="0" fontId="7" fillId="0" borderId="0" xfId="0" applyFont="1" applyBorder="1" applyAlignment="1">
      <alignment horizontal="left"/>
    </xf>
    <xf numFmtId="0" fontId="6" fillId="37" borderId="49" xfId="0" applyFont="1" applyFill="1" applyBorder="1" applyAlignment="1" applyProtection="1">
      <alignment horizontal="left" vertical="center"/>
      <protection/>
    </xf>
    <xf numFmtId="0" fontId="6" fillId="37" borderId="43" xfId="0" applyFont="1" applyFill="1" applyBorder="1" applyAlignment="1" applyProtection="1">
      <alignment horizontal="left" vertical="center"/>
      <protection/>
    </xf>
    <xf numFmtId="0" fontId="6" fillId="34" borderId="50" xfId="0" applyFont="1" applyFill="1" applyBorder="1" applyAlignment="1" applyProtection="1">
      <alignment horizontal="center" vertical="center"/>
      <protection/>
    </xf>
    <xf numFmtId="0" fontId="6" fillId="34" borderId="68" xfId="0" applyFont="1" applyFill="1" applyBorder="1" applyAlignment="1" applyProtection="1">
      <alignment horizontal="center" vertical="center"/>
      <protection/>
    </xf>
    <xf numFmtId="0" fontId="6" fillId="34" borderId="44" xfId="0" applyFont="1" applyFill="1" applyBorder="1" applyAlignment="1" applyProtection="1">
      <alignment horizontal="center" vertical="center"/>
      <protection/>
    </xf>
    <xf numFmtId="0" fontId="6" fillId="37" borderId="50" xfId="0" applyFont="1" applyFill="1" applyBorder="1" applyAlignment="1" applyProtection="1">
      <alignment horizontal="left" vertical="center" wrapText="1"/>
      <protection/>
    </xf>
    <xf numFmtId="0" fontId="6" fillId="33" borderId="44" xfId="0" applyFont="1" applyFill="1" applyBorder="1" applyAlignment="1" applyProtection="1">
      <alignment horizontal="left" vertical="center" wrapText="1"/>
      <protection/>
    </xf>
    <xf numFmtId="0" fontId="6" fillId="37" borderId="50" xfId="0" applyFont="1" applyFill="1" applyBorder="1" applyAlignment="1" applyProtection="1">
      <alignment horizontal="left"/>
      <protection/>
    </xf>
    <xf numFmtId="0" fontId="6" fillId="33" borderId="68" xfId="0" applyFont="1" applyFill="1" applyBorder="1" applyAlignment="1" applyProtection="1">
      <alignment horizontal="left"/>
      <protection/>
    </xf>
    <xf numFmtId="0" fontId="6" fillId="0" borderId="44" xfId="0" applyFont="1" applyBorder="1" applyAlignment="1" applyProtection="1">
      <alignment horizontal="left"/>
      <protection/>
    </xf>
    <xf numFmtId="0" fontId="14" fillId="38" borderId="49" xfId="0" applyFont="1" applyFill="1" applyBorder="1" applyAlignment="1" applyProtection="1">
      <alignment horizontal="center" vertical="center" textRotation="255"/>
      <protection/>
    </xf>
    <xf numFmtId="0" fontId="14" fillId="38" borderId="53" xfId="0" applyFont="1" applyFill="1" applyBorder="1" applyAlignment="1" applyProtection="1">
      <alignment horizontal="center" vertical="center" textRotation="255"/>
      <protection/>
    </xf>
    <xf numFmtId="0" fontId="14" fillId="38" borderId="43" xfId="0" applyFont="1" applyFill="1" applyBorder="1" applyAlignment="1" applyProtection="1">
      <alignment horizontal="center" vertical="center" textRotation="255"/>
      <protection/>
    </xf>
    <xf numFmtId="0" fontId="6" fillId="0" borderId="49" xfId="0" applyFont="1" applyBorder="1" applyAlignment="1" applyProtection="1">
      <alignment horizontal="left" vertical="center"/>
      <protection/>
    </xf>
    <xf numFmtId="0" fontId="6" fillId="0" borderId="43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69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6" fillId="36" borderId="50" xfId="0" applyFont="1" applyFill="1" applyBorder="1" applyAlignment="1" applyProtection="1">
      <alignment horizontal="left"/>
      <protection/>
    </xf>
    <xf numFmtId="0" fontId="6" fillId="36" borderId="68" xfId="0" applyFont="1" applyFill="1" applyBorder="1" applyAlignment="1" applyProtection="1">
      <alignment horizontal="left"/>
      <protection/>
    </xf>
    <xf numFmtId="0" fontId="6" fillId="37" borderId="44" xfId="0" applyFont="1" applyFill="1" applyBorder="1" applyAlignment="1" applyProtection="1">
      <alignment horizontal="left"/>
      <protection/>
    </xf>
    <xf numFmtId="0" fontId="6" fillId="0" borderId="41" xfId="0" applyFont="1" applyBorder="1" applyAlignment="1" applyProtection="1">
      <alignment horizontal="left"/>
      <protection/>
    </xf>
    <xf numFmtId="0" fontId="6" fillId="0" borderId="70" xfId="0" applyFont="1" applyBorder="1" applyAlignment="1" applyProtection="1">
      <alignment horizontal="left"/>
      <protection/>
    </xf>
    <xf numFmtId="0" fontId="6" fillId="0" borderId="38" xfId="0" applyFont="1" applyBorder="1" applyAlignment="1" applyProtection="1">
      <alignment horizontal="left"/>
      <protection/>
    </xf>
    <xf numFmtId="0" fontId="6" fillId="0" borderId="71" xfId="0" applyFont="1" applyBorder="1" applyAlignment="1" applyProtection="1">
      <alignment horizontal="left"/>
      <protection/>
    </xf>
    <xf numFmtId="0" fontId="6" fillId="0" borderId="42" xfId="0" applyFont="1" applyBorder="1" applyAlignment="1" applyProtection="1">
      <alignment horizontal="left"/>
      <protection/>
    </xf>
    <xf numFmtId="0" fontId="6" fillId="0" borderId="72" xfId="0" applyFont="1" applyBorder="1" applyAlignment="1" applyProtection="1">
      <alignment horizontal="left"/>
      <protection/>
    </xf>
    <xf numFmtId="0" fontId="6" fillId="34" borderId="50" xfId="0" applyFont="1" applyFill="1" applyBorder="1" applyAlignment="1" applyProtection="1">
      <alignment horizontal="left" vertical="center" wrapText="1"/>
      <protection/>
    </xf>
    <xf numFmtId="0" fontId="6" fillId="34" borderId="68" xfId="0" applyFont="1" applyFill="1" applyBorder="1" applyAlignment="1" applyProtection="1">
      <alignment horizontal="left" vertical="center" wrapText="1"/>
      <protection/>
    </xf>
    <xf numFmtId="0" fontId="6" fillId="0" borderId="73" xfId="0" applyFont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CUMPLIMIENTO VUELOS - EMPRESAS NACIONALES JUL. 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0000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'[2]JUL 09'!$E$4:$J$4</c:f>
              <c:strCache>
                <c:ptCount val="6"/>
                <c:pt idx="0">
                  <c:v>ADA</c:v>
                </c:pt>
                <c:pt idx="1">
                  <c:v>AEROREPUBLICA</c:v>
                </c:pt>
                <c:pt idx="2">
                  <c:v>AIRES</c:v>
                </c:pt>
                <c:pt idx="3">
                  <c:v>AVIANCA</c:v>
                </c:pt>
                <c:pt idx="4">
                  <c:v>EASYFLY</c:v>
                </c:pt>
                <c:pt idx="5">
                  <c:v>SAM</c:v>
                </c:pt>
              </c:strCache>
            </c:strRef>
          </c:cat>
          <c:val>
            <c:numRef>
              <c:f>'[2]JUL 09'!$E$28:$J$28</c:f>
              <c:numCache>
                <c:ptCount val="6"/>
                <c:pt idx="0">
                  <c:v>0.7609384908053266</c:v>
                </c:pt>
                <c:pt idx="1">
                  <c:v>0.9526970954356846</c:v>
                </c:pt>
                <c:pt idx="2">
                  <c:v>0.8588158750813273</c:v>
                </c:pt>
                <c:pt idx="3">
                  <c:v>0.9542772861356932</c:v>
                </c:pt>
                <c:pt idx="4">
                  <c:v>0.9324861000794281</c:v>
                </c:pt>
                <c:pt idx="5">
                  <c:v>0.9296322489391796</c:v>
                </c:pt>
              </c:numCache>
            </c:numRef>
          </c:val>
        </c:ser>
        <c:gapWidth val="90"/>
        <c:axId val="38584071"/>
        <c:axId val="11712320"/>
      </c:barChart>
      <c:catAx>
        <c:axId val="38584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</a:defRPr>
            </a:pPr>
          </a:p>
        </c:txPr>
        <c:crossAx val="11712320"/>
        <c:crosses val="autoZero"/>
        <c:auto val="1"/>
        <c:lblOffset val="100"/>
        <c:tickLblSkip val="1"/>
        <c:noMultiLvlLbl val="0"/>
      </c:catAx>
      <c:valAx>
        <c:axId val="1171232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8584071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CFDFF"/>
        </a:gs>
        <a:gs pos="100000">
          <a:srgbClr val="99CCFF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CUMPLIMIENTO VUELOS - EMPRESAS INTERNACIONALES (JULIO 2009)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'[1]JUL 09'!$E$4:$AB$4</c:f>
              <c:strCache>
                <c:ptCount val="24"/>
                <c:pt idx="0">
                  <c:v>A.ARGENTINAS</c:v>
                </c:pt>
                <c:pt idx="1">
                  <c:v>A. GALAPAGOS</c:v>
                </c:pt>
                <c:pt idx="2">
                  <c:v>AEROREPUBLICA</c:v>
                </c:pt>
                <c:pt idx="3">
                  <c:v>AI R E S</c:v>
                </c:pt>
                <c:pt idx="4">
                  <c:v>AIR  CANADA</c:v>
                </c:pt>
                <c:pt idx="5">
                  <c:v>AIR  FRANCE</c:v>
                </c:pt>
                <c:pt idx="6">
                  <c:v>AIR COMET</c:v>
                </c:pt>
                <c:pt idx="7">
                  <c:v>AMERICAN</c:v>
                </c:pt>
                <c:pt idx="8">
                  <c:v>AVIANCA</c:v>
                </c:pt>
                <c:pt idx="9">
                  <c:v>CONTINENTAL</c:v>
                </c:pt>
                <c:pt idx="10">
                  <c:v>COPA</c:v>
                </c:pt>
                <c:pt idx="11">
                  <c:v>CUBANA</c:v>
                </c:pt>
                <c:pt idx="12">
                  <c:v>DELTA</c:v>
                </c:pt>
                <c:pt idx="13">
                  <c:v>DUTCH</c:v>
                </c:pt>
                <c:pt idx="14">
                  <c:v>IBERIA</c:v>
                </c:pt>
                <c:pt idx="15">
                  <c:v>LACSA</c:v>
                </c:pt>
                <c:pt idx="16">
                  <c:v>LAN  PERU</c:v>
                </c:pt>
                <c:pt idx="17">
                  <c:v>LAN CHILE</c:v>
                </c:pt>
                <c:pt idx="18">
                  <c:v>MEXICANA </c:v>
                </c:pt>
                <c:pt idx="19">
                  <c:v>SAM</c:v>
                </c:pt>
                <c:pt idx="20">
                  <c:v>SPIRIT</c:v>
                </c:pt>
                <c:pt idx="21">
                  <c:v>TACA  PERU</c:v>
                </c:pt>
                <c:pt idx="22">
                  <c:v>TAME</c:v>
                </c:pt>
                <c:pt idx="23">
                  <c:v>VARIG</c:v>
                </c:pt>
              </c:strCache>
            </c:strRef>
          </c:cat>
          <c:val>
            <c:numRef>
              <c:f>'[1]JUL 09'!$E$28:$AB$28</c:f>
              <c:numCache>
                <c:ptCount val="24"/>
                <c:pt idx="0">
                  <c:v>0.7142857142857143</c:v>
                </c:pt>
                <c:pt idx="1">
                  <c:v>0.967741935483871</c:v>
                </c:pt>
                <c:pt idx="2">
                  <c:v>0.9572192513368984</c:v>
                </c:pt>
                <c:pt idx="3">
                  <c:v>0.7906976744186046</c:v>
                </c:pt>
                <c:pt idx="4">
                  <c:v>0.3076923076923077</c:v>
                </c:pt>
                <c:pt idx="5">
                  <c:v>1</c:v>
                </c:pt>
                <c:pt idx="6">
                  <c:v>0.8461538461538461</c:v>
                </c:pt>
                <c:pt idx="7">
                  <c:v>0.7419354838709677</c:v>
                </c:pt>
                <c:pt idx="8">
                  <c:v>0.9447322970639033</c:v>
                </c:pt>
                <c:pt idx="9">
                  <c:v>0.946236559139785</c:v>
                </c:pt>
                <c:pt idx="10">
                  <c:v>0.9769585253456221</c:v>
                </c:pt>
                <c:pt idx="11">
                  <c:v>1</c:v>
                </c:pt>
                <c:pt idx="12">
                  <c:v>0.8269230769230769</c:v>
                </c:pt>
                <c:pt idx="13">
                  <c:v>0.7777777777777778</c:v>
                </c:pt>
                <c:pt idx="14">
                  <c:v>0.2708333333333333</c:v>
                </c:pt>
                <c:pt idx="15">
                  <c:v>1</c:v>
                </c:pt>
                <c:pt idx="16">
                  <c:v>0.975</c:v>
                </c:pt>
                <c:pt idx="17">
                  <c:v>0</c:v>
                </c:pt>
                <c:pt idx="18">
                  <c:v>0.8571428571428571</c:v>
                </c:pt>
                <c:pt idx="19">
                  <c:v>0.9069767441860465</c:v>
                </c:pt>
                <c:pt idx="20">
                  <c:v>0.8111111111111111</c:v>
                </c:pt>
                <c:pt idx="21">
                  <c:v>1</c:v>
                </c:pt>
                <c:pt idx="22">
                  <c:v>0</c:v>
                </c:pt>
                <c:pt idx="23">
                  <c:v>0.6428571428571429</c:v>
                </c:pt>
              </c:numCache>
            </c:numRef>
          </c:val>
        </c:ser>
        <c:gapWidth val="30"/>
        <c:axId val="38302017"/>
        <c:axId val="9173834"/>
      </c:barChart>
      <c:catAx>
        <c:axId val="383020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73834"/>
        <c:crosses val="autoZero"/>
        <c:auto val="1"/>
        <c:lblOffset val="100"/>
        <c:tickLblSkip val="12"/>
        <c:noMultiLvlLbl val="0"/>
      </c:catAx>
      <c:valAx>
        <c:axId val="9173834"/>
        <c:scaling>
          <c:orientation val="minMax"/>
          <c:max val="1.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02017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CUMPLIMIENTO DE SERVICIOS DE VUELOS INTERNACIONALES JULIO 2009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'[1]JUL 09'!$D$46:$F$46</c:f>
              <c:strCache>
                <c:ptCount val="3"/>
                <c:pt idx="0">
                  <c:v> Cumplidos</c:v>
                </c:pt>
                <c:pt idx="1">
                  <c:v> Demorados</c:v>
                </c:pt>
                <c:pt idx="2">
                  <c:v>Cancelados</c:v>
                </c:pt>
              </c:strCache>
            </c:strRef>
          </c:cat>
          <c:val>
            <c:numRef>
              <c:f>'[1]JUL 09'!$D$47:$F$47</c:f>
              <c:numCache>
                <c:ptCount val="3"/>
                <c:pt idx="0">
                  <c:v>84.0677966101695</c:v>
                </c:pt>
                <c:pt idx="1">
                  <c:v>15.796610169491526</c:v>
                </c:pt>
                <c:pt idx="2">
                  <c:v>0.13559322033898305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'[1]JUL 09'!$D$46:$F$46</c:f>
              <c:strCache>
                <c:ptCount val="3"/>
                <c:pt idx="0">
                  <c:v> Cumplidos</c:v>
                </c:pt>
                <c:pt idx="1">
                  <c:v> Demorados</c:v>
                </c:pt>
                <c:pt idx="2">
                  <c:v>Cancelados</c:v>
                </c:pt>
              </c:strCache>
            </c:strRef>
          </c:cat>
          <c:val>
            <c:numRef>
              <c:f>'[1]JUL 09'!$D$48:$F$48</c:f>
              <c:numCache>
                <c:ptCount val="3"/>
                <c:pt idx="0">
                  <c:v>2480</c:v>
                </c:pt>
                <c:pt idx="1">
                  <c:v>466</c:v>
                </c:pt>
                <c:pt idx="2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33</xdr:row>
      <xdr:rowOff>0</xdr:rowOff>
    </xdr:from>
    <xdr:to>
      <xdr:col>10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6696075" y="8791575"/>
        <a:ext cx="2419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3819525" y="82391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32</xdr:row>
      <xdr:rowOff>0</xdr:rowOff>
    </xdr:from>
    <xdr:to>
      <xdr:col>4</xdr:col>
      <xdr:colOff>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542925" y="8239125"/>
        <a:ext cx="3276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4242800\Configuraci&#243;n%20local\Archivos%20temporales%20de%20Internet\OLK16\CUMPLIMIENTO%20INTERNACIONAL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4242800\Configuraci&#243;n%20local\Archivos%20temporales%20de%20Internet\OLK16\CUMPLIMIENTO%20NACIONAL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 09"/>
      <sheetName val="FEB 09"/>
      <sheetName val="MAR 09"/>
      <sheetName val="ABR 09"/>
      <sheetName val="MAY 09"/>
      <sheetName val="JUN 09"/>
      <sheetName val="JUL 09"/>
      <sheetName val="AGO 09"/>
      <sheetName val="SEP 09"/>
      <sheetName val="OCT 09"/>
      <sheetName val="NOV 09"/>
      <sheetName val="DIC 09"/>
      <sheetName val="TOTAL 09"/>
    </sheetNames>
    <sheetDataSet>
      <sheetData sheetId="6">
        <row r="4">
          <cell r="E4" t="str">
            <v>A.ARGENTINAS</v>
          </cell>
          <cell r="F4" t="str">
            <v>A. GALAPAGOS</v>
          </cell>
          <cell r="G4" t="str">
            <v>AEROREPUBLICA</v>
          </cell>
          <cell r="H4" t="str">
            <v>AI R E S</v>
          </cell>
          <cell r="I4" t="str">
            <v>AIR  CANADA</v>
          </cell>
          <cell r="J4" t="str">
            <v>AIR  FRANCE</v>
          </cell>
          <cell r="K4" t="str">
            <v>AIR COMET</v>
          </cell>
          <cell r="L4" t="str">
            <v>AMERICAN</v>
          </cell>
          <cell r="M4" t="str">
            <v>AVIANCA</v>
          </cell>
          <cell r="N4" t="str">
            <v>CONTINENTAL</v>
          </cell>
          <cell r="O4" t="str">
            <v>COPA</v>
          </cell>
          <cell r="P4" t="str">
            <v>CUBANA</v>
          </cell>
          <cell r="Q4" t="str">
            <v>DELTA</v>
          </cell>
          <cell r="R4" t="str">
            <v>DUTCH</v>
          </cell>
          <cell r="S4" t="str">
            <v>IBERIA</v>
          </cell>
          <cell r="T4" t="str">
            <v>LACSA</v>
          </cell>
          <cell r="U4" t="str">
            <v>LAN  PERU</v>
          </cell>
          <cell r="V4" t="str">
            <v>LAN CHILE</v>
          </cell>
          <cell r="W4" t="str">
            <v>MEXICANA </v>
          </cell>
          <cell r="X4" t="str">
            <v>SAM</v>
          </cell>
          <cell r="Y4" t="str">
            <v>SPIRIT</v>
          </cell>
          <cell r="Z4" t="str">
            <v>TACA  PERU</v>
          </cell>
          <cell r="AA4" t="str">
            <v>TAME</v>
          </cell>
          <cell r="AB4" t="str">
            <v>VARIG</v>
          </cell>
        </row>
        <row r="28">
          <cell r="E28">
            <v>0.7142857142857143</v>
          </cell>
          <cell r="F28">
            <v>0.967741935483871</v>
          </cell>
          <cell r="G28">
            <v>0.9572192513368984</v>
          </cell>
          <cell r="H28">
            <v>0.7906976744186046</v>
          </cell>
          <cell r="I28">
            <v>0.3076923076923077</v>
          </cell>
          <cell r="J28">
            <v>1</v>
          </cell>
          <cell r="K28">
            <v>0.8461538461538461</v>
          </cell>
          <cell r="L28">
            <v>0.7419354838709677</v>
          </cell>
          <cell r="M28">
            <v>0.9447322970639033</v>
          </cell>
          <cell r="N28">
            <v>0.946236559139785</v>
          </cell>
          <cell r="O28">
            <v>0.9769585253456221</v>
          </cell>
          <cell r="P28">
            <v>1</v>
          </cell>
          <cell r="Q28">
            <v>0.8269230769230769</v>
          </cell>
          <cell r="R28">
            <v>0.7777777777777778</v>
          </cell>
          <cell r="S28">
            <v>0.2708333333333333</v>
          </cell>
          <cell r="T28">
            <v>1</v>
          </cell>
          <cell r="U28">
            <v>0.975</v>
          </cell>
          <cell r="V28">
            <v>0</v>
          </cell>
          <cell r="W28">
            <v>0.8571428571428571</v>
          </cell>
          <cell r="X28">
            <v>0.9069767441860465</v>
          </cell>
          <cell r="Y28">
            <v>0.8111111111111111</v>
          </cell>
          <cell r="Z28">
            <v>1</v>
          </cell>
          <cell r="AA28">
            <v>0</v>
          </cell>
          <cell r="AB28">
            <v>0.6428571428571429</v>
          </cell>
        </row>
        <row r="46">
          <cell r="D46" t="str">
            <v> Cumplidos</v>
          </cell>
          <cell r="E46" t="str">
            <v> Demorados</v>
          </cell>
          <cell r="F46" t="str">
            <v>Cancelados</v>
          </cell>
        </row>
        <row r="47">
          <cell r="D47">
            <v>84.0677966101695</v>
          </cell>
          <cell r="E47">
            <v>15.796610169491526</v>
          </cell>
          <cell r="F47">
            <v>0.13559322033898305</v>
          </cell>
        </row>
        <row r="48">
          <cell r="D48">
            <v>2480</v>
          </cell>
          <cell r="E48">
            <v>466</v>
          </cell>
          <cell r="F48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 09"/>
      <sheetName val="FEB 09"/>
      <sheetName val="MAR 09"/>
      <sheetName val="ABR 09"/>
      <sheetName val="MAY 09"/>
      <sheetName val="JUN 09"/>
      <sheetName val="JUL 09"/>
      <sheetName val="AGO 09"/>
      <sheetName val="SEP 09"/>
      <sheetName val="OCT 09"/>
      <sheetName val="NOV 09"/>
      <sheetName val="DIC 09"/>
      <sheetName val="ACOMULADO"/>
    </sheetNames>
    <sheetDataSet>
      <sheetData sheetId="6">
        <row r="4">
          <cell r="E4" t="str">
            <v>ADA</v>
          </cell>
          <cell r="F4" t="str">
            <v>AEROREPUBLICA</v>
          </cell>
          <cell r="G4" t="str">
            <v>AIRES</v>
          </cell>
          <cell r="H4" t="str">
            <v>AVIANCA</v>
          </cell>
          <cell r="I4" t="str">
            <v>EASYFLY</v>
          </cell>
          <cell r="J4" t="str">
            <v>SAM</v>
          </cell>
        </row>
        <row r="28">
          <cell r="E28">
            <v>0.7609384908053266</v>
          </cell>
          <cell r="F28">
            <v>0.9526970954356846</v>
          </cell>
          <cell r="G28">
            <v>0.8588158750813273</v>
          </cell>
          <cell r="H28">
            <v>0.9542772861356932</v>
          </cell>
          <cell r="I28">
            <v>0.9324861000794281</v>
          </cell>
          <cell r="J28">
            <v>0.9296322489391796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ersonalizado 2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="70" zoomScaleNormal="70" zoomScalePageLayoutView="0" workbookViewId="0" topLeftCell="A4">
      <selection activeCell="M35" sqref="M35"/>
    </sheetView>
  </sheetViews>
  <sheetFormatPr defaultColWidth="11.421875" defaultRowHeight="12.75"/>
  <cols>
    <col min="1" max="1" width="6.57421875" style="5" bestFit="1" customWidth="1"/>
    <col min="2" max="2" width="5.8515625" style="3" bestFit="1" customWidth="1"/>
    <col min="3" max="3" width="40.7109375" style="3" customWidth="1"/>
    <col min="4" max="4" width="20.421875" style="3" customWidth="1"/>
    <col min="5" max="7" width="10.421875" style="3" customWidth="1"/>
    <col min="8" max="8" width="10.421875" style="23" customWidth="1"/>
    <col min="9" max="9" width="10.7109375" style="23" customWidth="1"/>
    <col min="10" max="10" width="10.7109375" style="3" customWidth="1"/>
    <col min="11" max="11" width="11.421875" style="3" customWidth="1"/>
    <col min="12" max="12" width="9.140625" style="3" bestFit="1" customWidth="1"/>
    <col min="13" max="13" width="7.7109375" style="3" customWidth="1"/>
    <col min="14" max="14" width="17.140625" style="3" customWidth="1"/>
    <col min="15" max="16" width="11.421875" style="3" customWidth="1"/>
    <col min="17" max="17" width="25.140625" style="3" customWidth="1"/>
    <col min="18" max="18" width="6.421875" style="3" customWidth="1"/>
    <col min="19" max="19" width="4.7109375" style="3" customWidth="1"/>
    <col min="20" max="20" width="7.28125" style="3" customWidth="1"/>
    <col min="21" max="22" width="11.421875" style="3" customWidth="1"/>
    <col min="23" max="23" width="7.140625" style="3" customWidth="1"/>
    <col min="24" max="24" width="5.140625" style="3" customWidth="1"/>
    <col min="25" max="16384" width="11.421875" style="3" customWidth="1"/>
  </cols>
  <sheetData>
    <row r="1" spans="1:10" ht="17.25">
      <c r="A1" s="191" t="s">
        <v>2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17.25">
      <c r="A2" s="191" t="s">
        <v>39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8" thickBot="1">
      <c r="A3" s="192" t="s">
        <v>63</v>
      </c>
      <c r="B3" s="192"/>
      <c r="C3" s="192"/>
      <c r="D3" s="192"/>
      <c r="E3" s="192"/>
      <c r="F3" s="192"/>
      <c r="G3" s="192"/>
      <c r="H3" s="192"/>
      <c r="I3" s="192"/>
      <c r="J3" s="192"/>
    </row>
    <row r="4" spans="1:20" ht="58.5" thickBot="1" thickTop="1">
      <c r="A4" s="145" t="s">
        <v>4</v>
      </c>
      <c r="B4" s="193" t="s">
        <v>5</v>
      </c>
      <c r="C4" s="194"/>
      <c r="D4" s="195"/>
      <c r="E4" s="58" t="s">
        <v>51</v>
      </c>
      <c r="F4" s="58" t="s">
        <v>40</v>
      </c>
      <c r="G4" s="58" t="s">
        <v>41</v>
      </c>
      <c r="H4" s="58" t="s">
        <v>42</v>
      </c>
      <c r="I4" s="58" t="s">
        <v>43</v>
      </c>
      <c r="J4" s="58" t="s">
        <v>45</v>
      </c>
      <c r="K4" s="57" t="s">
        <v>13</v>
      </c>
      <c r="M4" s="6"/>
      <c r="N4" s="168"/>
      <c r="O4" s="168"/>
      <c r="P4" s="168"/>
      <c r="Q4" s="168"/>
      <c r="R4" s="168"/>
      <c r="S4" s="168"/>
      <c r="T4" s="6"/>
    </row>
    <row r="5" spans="1:20" ht="18" thickBot="1" thickTop="1">
      <c r="A5" s="51">
        <v>1</v>
      </c>
      <c r="B5" s="198" t="s">
        <v>14</v>
      </c>
      <c r="C5" s="199"/>
      <c r="D5" s="200"/>
      <c r="E5" s="25">
        <v>1574</v>
      </c>
      <c r="F5" s="26">
        <v>1414</v>
      </c>
      <c r="G5" s="26">
        <v>3776</v>
      </c>
      <c r="H5" s="26">
        <v>6788</v>
      </c>
      <c r="I5" s="26">
        <v>1578</v>
      </c>
      <c r="J5" s="27">
        <v>774</v>
      </c>
      <c r="K5" s="56">
        <f aca="true" t="shared" si="0" ref="K5:K29">SUM(E5:J5)</f>
        <v>15904</v>
      </c>
      <c r="M5" s="169"/>
      <c r="N5" s="170"/>
      <c r="O5" s="170"/>
      <c r="P5" s="170"/>
      <c r="Q5" s="170"/>
      <c r="R5" s="170"/>
      <c r="S5" s="6"/>
      <c r="T5" s="6"/>
    </row>
    <row r="6" spans="1:20" ht="18" thickTop="1">
      <c r="A6" s="47">
        <v>2</v>
      </c>
      <c r="B6" s="173" t="s">
        <v>15</v>
      </c>
      <c r="C6" s="174"/>
      <c r="D6" s="175"/>
      <c r="E6" s="59">
        <v>27</v>
      </c>
      <c r="F6" s="60">
        <v>0</v>
      </c>
      <c r="G6" s="60">
        <v>700</v>
      </c>
      <c r="H6" s="60">
        <v>30</v>
      </c>
      <c r="I6" s="60">
        <v>844</v>
      </c>
      <c r="J6" s="61">
        <v>0</v>
      </c>
      <c r="K6" s="46">
        <f t="shared" si="0"/>
        <v>1601</v>
      </c>
      <c r="M6" s="6"/>
      <c r="N6" s="170"/>
      <c r="O6" s="170"/>
      <c r="P6" s="170"/>
      <c r="Q6" s="171"/>
      <c r="R6" s="171"/>
      <c r="S6" s="6"/>
      <c r="T6" s="6"/>
    </row>
    <row r="7" spans="1:20" ht="18" thickBot="1">
      <c r="A7" s="52">
        <v>3</v>
      </c>
      <c r="B7" s="176" t="s">
        <v>33</v>
      </c>
      <c r="C7" s="177"/>
      <c r="D7" s="178"/>
      <c r="E7" s="32">
        <v>0</v>
      </c>
      <c r="F7" s="33">
        <v>0</v>
      </c>
      <c r="G7" s="33">
        <v>0</v>
      </c>
      <c r="H7" s="33">
        <v>200</v>
      </c>
      <c r="I7" s="33">
        <v>0</v>
      </c>
      <c r="J7" s="34">
        <v>0</v>
      </c>
      <c r="K7" s="44">
        <f t="shared" si="0"/>
        <v>200</v>
      </c>
      <c r="M7" s="169"/>
      <c r="N7" s="170"/>
      <c r="O7" s="170"/>
      <c r="P7" s="170"/>
      <c r="Q7" s="170"/>
      <c r="R7" s="170"/>
      <c r="S7" s="170"/>
      <c r="T7" s="6"/>
    </row>
    <row r="8" spans="1:20" ht="24" customHeight="1" thickTop="1">
      <c r="A8" s="50">
        <v>4</v>
      </c>
      <c r="B8" s="179" t="s">
        <v>0</v>
      </c>
      <c r="C8" s="182" t="s">
        <v>34</v>
      </c>
      <c r="D8" s="183"/>
      <c r="E8" s="35">
        <v>30</v>
      </c>
      <c r="F8" s="36">
        <v>39</v>
      </c>
      <c r="G8" s="36">
        <v>441</v>
      </c>
      <c r="H8" s="36">
        <v>22</v>
      </c>
      <c r="I8" s="36">
        <v>0</v>
      </c>
      <c r="J8" s="37">
        <v>8</v>
      </c>
      <c r="K8" s="42">
        <f t="shared" si="0"/>
        <v>540</v>
      </c>
      <c r="M8" s="169"/>
      <c r="N8" s="170"/>
      <c r="O8" s="170"/>
      <c r="P8" s="170"/>
      <c r="Q8" s="170"/>
      <c r="R8" s="170"/>
      <c r="S8" s="170"/>
      <c r="T8" s="6"/>
    </row>
    <row r="9" spans="1:20" ht="19.5" customHeight="1">
      <c r="A9" s="47">
        <v>5</v>
      </c>
      <c r="B9" s="180"/>
      <c r="C9" s="184" t="s">
        <v>29</v>
      </c>
      <c r="D9" s="204"/>
      <c r="E9" s="30">
        <v>37</v>
      </c>
      <c r="F9" s="17">
        <v>2</v>
      </c>
      <c r="G9" s="17">
        <v>75</v>
      </c>
      <c r="H9" s="17">
        <v>213</v>
      </c>
      <c r="I9" s="17">
        <v>197</v>
      </c>
      <c r="J9" s="28">
        <v>9</v>
      </c>
      <c r="K9" s="43">
        <f t="shared" si="0"/>
        <v>533</v>
      </c>
      <c r="M9" s="6"/>
      <c r="N9" s="170"/>
      <c r="O9" s="170"/>
      <c r="P9" s="170"/>
      <c r="Q9" s="170"/>
      <c r="R9" s="170"/>
      <c r="S9" s="170"/>
      <c r="T9" s="6"/>
    </row>
    <row r="10" spans="1:13" ht="18" customHeight="1">
      <c r="A10" s="47">
        <v>6</v>
      </c>
      <c r="B10" s="180"/>
      <c r="C10" s="184" t="s">
        <v>30</v>
      </c>
      <c r="D10" s="204"/>
      <c r="E10" s="30">
        <v>4</v>
      </c>
      <c r="F10" s="17">
        <v>1</v>
      </c>
      <c r="G10" s="17">
        <v>38</v>
      </c>
      <c r="H10" s="17">
        <v>32</v>
      </c>
      <c r="I10" s="17">
        <v>5</v>
      </c>
      <c r="J10" s="28">
        <v>31</v>
      </c>
      <c r="K10" s="43">
        <f t="shared" si="0"/>
        <v>111</v>
      </c>
      <c r="M10" s="7"/>
    </row>
    <row r="11" spans="1:13" ht="18" thickBot="1">
      <c r="A11" s="47">
        <v>7</v>
      </c>
      <c r="B11" s="180"/>
      <c r="C11" s="205" t="s">
        <v>31</v>
      </c>
      <c r="D11" s="206"/>
      <c r="E11" s="32"/>
      <c r="F11" s="33">
        <v>1</v>
      </c>
      <c r="G11" s="33">
        <v>5</v>
      </c>
      <c r="H11" s="33">
        <v>26</v>
      </c>
      <c r="I11" s="33">
        <v>0</v>
      </c>
      <c r="J11" s="34">
        <v>0</v>
      </c>
      <c r="K11" s="44">
        <f t="shared" si="0"/>
        <v>32</v>
      </c>
      <c r="M11" s="7"/>
    </row>
    <row r="12" spans="1:13" ht="18" thickBot="1" thickTop="1">
      <c r="A12" s="47">
        <v>8</v>
      </c>
      <c r="B12" s="180"/>
      <c r="C12" s="189" t="s">
        <v>44</v>
      </c>
      <c r="D12" s="190"/>
      <c r="E12" s="62">
        <f aca="true" t="shared" si="1" ref="E12:J12">IF((E8+E9+E10+E11)&gt;E35,0,(+E35-E8-E9-E10-E11))</f>
        <v>29</v>
      </c>
      <c r="F12" s="167">
        <f t="shared" si="1"/>
        <v>0</v>
      </c>
      <c r="G12" s="63">
        <f t="shared" si="1"/>
        <v>0</v>
      </c>
      <c r="H12" s="63">
        <f t="shared" si="1"/>
        <v>0</v>
      </c>
      <c r="I12" s="63">
        <f t="shared" si="1"/>
        <v>0</v>
      </c>
      <c r="J12" s="63">
        <f t="shared" si="1"/>
        <v>43</v>
      </c>
      <c r="K12" s="56">
        <f t="shared" si="0"/>
        <v>72</v>
      </c>
      <c r="M12" s="7"/>
    </row>
    <row r="13" spans="1:13" ht="24" customHeight="1" thickBot="1" thickTop="1">
      <c r="A13" s="47">
        <v>9</v>
      </c>
      <c r="B13" s="180"/>
      <c r="C13" s="207" t="s">
        <v>49</v>
      </c>
      <c r="D13" s="208"/>
      <c r="E13" s="59">
        <f aca="true" t="shared" si="2" ref="E13:J13">E8+E9</f>
        <v>67</v>
      </c>
      <c r="F13" s="60">
        <f t="shared" si="2"/>
        <v>41</v>
      </c>
      <c r="G13" s="60">
        <f t="shared" si="2"/>
        <v>516</v>
      </c>
      <c r="H13" s="60">
        <f t="shared" si="2"/>
        <v>235</v>
      </c>
      <c r="I13" s="60">
        <f t="shared" si="2"/>
        <v>197</v>
      </c>
      <c r="J13" s="60">
        <f t="shared" si="2"/>
        <v>17</v>
      </c>
      <c r="K13" s="46">
        <f t="shared" si="0"/>
        <v>1073</v>
      </c>
      <c r="M13" s="7"/>
    </row>
    <row r="14" spans="1:19" ht="27" customHeight="1" thickBot="1" thickTop="1">
      <c r="A14" s="47">
        <v>10</v>
      </c>
      <c r="B14" s="180"/>
      <c r="C14" s="189" t="s">
        <v>50</v>
      </c>
      <c r="D14" s="190"/>
      <c r="E14" s="38">
        <f aca="true" t="shared" si="3" ref="E14:J14">E10+E11</f>
        <v>4</v>
      </c>
      <c r="F14" s="39">
        <f t="shared" si="3"/>
        <v>2</v>
      </c>
      <c r="G14" s="39">
        <f t="shared" si="3"/>
        <v>43</v>
      </c>
      <c r="H14" s="39">
        <f t="shared" si="3"/>
        <v>58</v>
      </c>
      <c r="I14" s="39">
        <f t="shared" si="3"/>
        <v>5</v>
      </c>
      <c r="J14" s="39">
        <f t="shared" si="3"/>
        <v>31</v>
      </c>
      <c r="K14" s="45">
        <f t="shared" si="0"/>
        <v>143</v>
      </c>
      <c r="M14" s="7"/>
      <c r="S14" s="154"/>
    </row>
    <row r="15" spans="1:19" ht="37.5" customHeight="1" thickBot="1" thickTop="1">
      <c r="A15" s="49">
        <v>11</v>
      </c>
      <c r="B15" s="181"/>
      <c r="C15" s="187" t="s">
        <v>23</v>
      </c>
      <c r="D15" s="188"/>
      <c r="E15" s="40">
        <f aca="true" t="shared" si="4" ref="E15:J15">IF((E8+E9+E10+E11)&gt;E35,(E8+E9+E10+E11),E35)</f>
        <v>100</v>
      </c>
      <c r="F15" s="41">
        <f t="shared" si="4"/>
        <v>43</v>
      </c>
      <c r="G15" s="41">
        <f t="shared" si="4"/>
        <v>559</v>
      </c>
      <c r="H15" s="41">
        <f t="shared" si="4"/>
        <v>293</v>
      </c>
      <c r="I15" s="41">
        <f t="shared" si="4"/>
        <v>202</v>
      </c>
      <c r="J15" s="41">
        <f t="shared" si="4"/>
        <v>91</v>
      </c>
      <c r="K15" s="79">
        <f t="shared" si="0"/>
        <v>1288</v>
      </c>
      <c r="M15" s="7"/>
      <c r="S15" s="154"/>
    </row>
    <row r="16" spans="1:13" ht="18" thickTop="1">
      <c r="A16" s="213">
        <v>12</v>
      </c>
      <c r="B16" s="214" t="s">
        <v>1</v>
      </c>
      <c r="C16" s="216" t="s">
        <v>28</v>
      </c>
      <c r="D16" s="64" t="s">
        <v>16</v>
      </c>
      <c r="E16" s="35">
        <v>0</v>
      </c>
      <c r="F16" s="36">
        <v>70</v>
      </c>
      <c r="G16" s="36">
        <v>0</v>
      </c>
      <c r="H16" s="36">
        <v>0</v>
      </c>
      <c r="I16" s="36">
        <v>0</v>
      </c>
      <c r="J16" s="37">
        <v>0</v>
      </c>
      <c r="K16" s="42">
        <f t="shared" si="0"/>
        <v>70</v>
      </c>
      <c r="M16" s="7"/>
    </row>
    <row r="17" spans="1:13" ht="18" thickBot="1">
      <c r="A17" s="201"/>
      <c r="B17" s="180"/>
      <c r="C17" s="197"/>
      <c r="D17" s="65" t="s">
        <v>17</v>
      </c>
      <c r="E17" s="30">
        <v>0</v>
      </c>
      <c r="F17" s="17">
        <f>141*60</f>
        <v>8460</v>
      </c>
      <c r="G17" s="17">
        <v>0</v>
      </c>
      <c r="H17" s="17">
        <v>0</v>
      </c>
      <c r="I17" s="17">
        <v>0</v>
      </c>
      <c r="J17" s="28">
        <v>0</v>
      </c>
      <c r="K17" s="43">
        <f t="shared" si="0"/>
        <v>8460</v>
      </c>
      <c r="M17" s="7"/>
    </row>
    <row r="18" spans="1:15" ht="18" thickTop="1">
      <c r="A18" s="201">
        <v>13</v>
      </c>
      <c r="B18" s="180"/>
      <c r="C18" s="196" t="s">
        <v>35</v>
      </c>
      <c r="D18" s="83" t="s">
        <v>16</v>
      </c>
      <c r="E18" s="30">
        <v>469</v>
      </c>
      <c r="F18" s="17">
        <v>187</v>
      </c>
      <c r="G18" s="17">
        <v>150</v>
      </c>
      <c r="H18" s="17">
        <v>1507</v>
      </c>
      <c r="I18" s="17">
        <v>665</v>
      </c>
      <c r="J18" s="28">
        <v>111</v>
      </c>
      <c r="K18" s="43">
        <f t="shared" si="0"/>
        <v>3089</v>
      </c>
      <c r="M18" s="7"/>
      <c r="O18" s="172"/>
    </row>
    <row r="19" spans="1:13" ht="18" thickBot="1">
      <c r="A19" s="201"/>
      <c r="B19" s="180"/>
      <c r="C19" s="217"/>
      <c r="D19" s="84" t="s">
        <v>17</v>
      </c>
      <c r="E19" s="30">
        <f>556*60+40</f>
        <v>33400</v>
      </c>
      <c r="F19" s="17">
        <f>180*60</f>
        <v>10800</v>
      </c>
      <c r="G19" s="17">
        <v>2553</v>
      </c>
      <c r="H19" s="17">
        <v>95805</v>
      </c>
      <c r="I19" s="17">
        <f>679*60+6</f>
        <v>40746</v>
      </c>
      <c r="J19" s="28">
        <f>75*60+29</f>
        <v>4529</v>
      </c>
      <c r="K19" s="43">
        <f t="shared" si="0"/>
        <v>187833</v>
      </c>
      <c r="M19" s="7"/>
    </row>
    <row r="20" spans="1:14" ht="18" thickTop="1">
      <c r="A20" s="201">
        <v>14</v>
      </c>
      <c r="B20" s="180"/>
      <c r="C20" s="216" t="s">
        <v>30</v>
      </c>
      <c r="D20" s="64" t="s">
        <v>16</v>
      </c>
      <c r="E20" s="30">
        <v>221</v>
      </c>
      <c r="F20" s="17">
        <v>33</v>
      </c>
      <c r="G20" s="17">
        <v>260</v>
      </c>
      <c r="H20" s="17">
        <v>166</v>
      </c>
      <c r="I20" s="17">
        <v>45</v>
      </c>
      <c r="J20" s="28">
        <v>36</v>
      </c>
      <c r="K20" s="43">
        <f t="shared" si="0"/>
        <v>761</v>
      </c>
      <c r="M20" s="7"/>
      <c r="N20" s="7"/>
    </row>
    <row r="21" spans="1:13" ht="18" thickBot="1">
      <c r="A21" s="201"/>
      <c r="B21" s="180"/>
      <c r="C21" s="197"/>
      <c r="D21" s="65" t="s">
        <v>17</v>
      </c>
      <c r="E21" s="30">
        <f>206*60+80</f>
        <v>12440</v>
      </c>
      <c r="F21" s="17">
        <f>17*60</f>
        <v>1020</v>
      </c>
      <c r="G21" s="17">
        <v>15110</v>
      </c>
      <c r="H21" s="17">
        <v>11974</v>
      </c>
      <c r="I21" s="17">
        <f>65*60+15</f>
        <v>3915</v>
      </c>
      <c r="J21" s="28">
        <f>35*60+16</f>
        <v>2116</v>
      </c>
      <c r="K21" s="43">
        <f t="shared" si="0"/>
        <v>46575</v>
      </c>
      <c r="M21" s="7"/>
    </row>
    <row r="22" spans="1:13" ht="18" thickTop="1">
      <c r="A22" s="201">
        <v>15</v>
      </c>
      <c r="B22" s="180"/>
      <c r="C22" s="196" t="s">
        <v>31</v>
      </c>
      <c r="D22" s="83" t="s">
        <v>16</v>
      </c>
      <c r="E22" s="30">
        <v>108</v>
      </c>
      <c r="F22" s="17">
        <v>41</v>
      </c>
      <c r="G22" s="17">
        <v>1505</v>
      </c>
      <c r="H22" s="17">
        <v>121</v>
      </c>
      <c r="I22" s="17">
        <v>28</v>
      </c>
      <c r="J22" s="28">
        <v>9</v>
      </c>
      <c r="K22" s="43">
        <f t="shared" si="0"/>
        <v>1812</v>
      </c>
      <c r="M22" s="7"/>
    </row>
    <row r="23" spans="1:13" ht="18" thickBot="1">
      <c r="A23" s="201"/>
      <c r="B23" s="180"/>
      <c r="C23" s="197"/>
      <c r="D23" s="65" t="s">
        <v>17</v>
      </c>
      <c r="E23" s="32">
        <f>108*60</f>
        <v>6480</v>
      </c>
      <c r="F23" s="17">
        <f>30*60</f>
        <v>1800</v>
      </c>
      <c r="G23" s="33">
        <v>34681</v>
      </c>
      <c r="H23" s="33">
        <v>6961</v>
      </c>
      <c r="I23" s="33">
        <f>16*60+49</f>
        <v>1009</v>
      </c>
      <c r="J23" s="34">
        <f>6*60+29</f>
        <v>389</v>
      </c>
      <c r="K23" s="44">
        <f t="shared" si="0"/>
        <v>51320</v>
      </c>
      <c r="M23" s="7"/>
    </row>
    <row r="24" spans="1:13" ht="18" thickBot="1" thickTop="1">
      <c r="A24" s="48">
        <v>16</v>
      </c>
      <c r="B24" s="180"/>
      <c r="C24" s="202" t="s">
        <v>44</v>
      </c>
      <c r="D24" s="203"/>
      <c r="E24" s="62">
        <f aca="true" t="shared" si="5" ref="E24:J24">IF((E16+E18+E20+E22)&gt;E36,0,(+E36-E16-E18-E20-E22))</f>
        <v>15</v>
      </c>
      <c r="F24" s="63">
        <f t="shared" si="5"/>
        <v>76</v>
      </c>
      <c r="G24" s="63">
        <f t="shared" si="5"/>
        <v>0</v>
      </c>
      <c r="H24" s="63">
        <f t="shared" si="5"/>
        <v>324</v>
      </c>
      <c r="I24" s="63">
        <f t="shared" si="5"/>
        <v>0</v>
      </c>
      <c r="J24" s="63">
        <f t="shared" si="5"/>
        <v>201</v>
      </c>
      <c r="K24" s="56">
        <f t="shared" si="0"/>
        <v>616</v>
      </c>
      <c r="M24" s="7"/>
    </row>
    <row r="25" spans="1:13" ht="18" thickBot="1" thickTop="1">
      <c r="A25" s="201">
        <v>17</v>
      </c>
      <c r="B25" s="180"/>
      <c r="C25" s="210" t="s">
        <v>22</v>
      </c>
      <c r="D25" s="66" t="s">
        <v>36</v>
      </c>
      <c r="E25" s="54">
        <f aca="true" t="shared" si="6" ref="E25:J25">IF((E16+E18+E20+E22)&gt;E36,(E16+E18+E20+E22),E36)</f>
        <v>813</v>
      </c>
      <c r="F25" s="55">
        <f t="shared" si="6"/>
        <v>407</v>
      </c>
      <c r="G25" s="55">
        <f t="shared" si="6"/>
        <v>1915</v>
      </c>
      <c r="H25" s="55">
        <f t="shared" si="6"/>
        <v>2118</v>
      </c>
      <c r="I25" s="55">
        <f t="shared" si="6"/>
        <v>738</v>
      </c>
      <c r="J25" s="55">
        <f t="shared" si="6"/>
        <v>357</v>
      </c>
      <c r="K25" s="56">
        <f t="shared" si="0"/>
        <v>6348</v>
      </c>
      <c r="M25" s="7"/>
    </row>
    <row r="26" spans="1:13" ht="18" thickBot="1" thickTop="1">
      <c r="A26" s="209"/>
      <c r="B26" s="215"/>
      <c r="C26" s="211"/>
      <c r="D26" s="65" t="s">
        <v>17</v>
      </c>
      <c r="E26" s="67">
        <f aca="true" t="shared" si="7" ref="E26:J26">E17+E19+E21+E23</f>
        <v>52320</v>
      </c>
      <c r="F26" s="68">
        <f t="shared" si="7"/>
        <v>22080</v>
      </c>
      <c r="G26" s="68">
        <f t="shared" si="7"/>
        <v>52344</v>
      </c>
      <c r="H26" s="68">
        <f t="shared" si="7"/>
        <v>114740</v>
      </c>
      <c r="I26" s="68">
        <f t="shared" si="7"/>
        <v>45670</v>
      </c>
      <c r="J26" s="68">
        <f t="shared" si="7"/>
        <v>7034</v>
      </c>
      <c r="K26" s="53">
        <f t="shared" si="0"/>
        <v>294188</v>
      </c>
      <c r="M26" s="7"/>
    </row>
    <row r="27" spans="1:13" ht="18" thickTop="1">
      <c r="A27" s="50">
        <v>18</v>
      </c>
      <c r="B27" s="173" t="s">
        <v>18</v>
      </c>
      <c r="C27" s="174"/>
      <c r="D27" s="212"/>
      <c r="E27" s="70">
        <f aca="true" t="shared" si="8" ref="E27:J27">E5+E6+E7</f>
        <v>1601</v>
      </c>
      <c r="F27" s="71">
        <f t="shared" si="8"/>
        <v>1414</v>
      </c>
      <c r="G27" s="71">
        <f t="shared" si="8"/>
        <v>4476</v>
      </c>
      <c r="H27" s="71">
        <f t="shared" si="8"/>
        <v>7018</v>
      </c>
      <c r="I27" s="71">
        <f t="shared" si="8"/>
        <v>2422</v>
      </c>
      <c r="J27" s="164">
        <f t="shared" si="8"/>
        <v>774</v>
      </c>
      <c r="K27" s="42">
        <f t="shared" si="0"/>
        <v>17705</v>
      </c>
      <c r="M27" s="7"/>
    </row>
    <row r="28" spans="1:13" ht="17.25">
      <c r="A28" s="47">
        <v>19</v>
      </c>
      <c r="B28" s="184" t="s">
        <v>19</v>
      </c>
      <c r="C28" s="185"/>
      <c r="D28" s="186"/>
      <c r="E28" s="31">
        <f aca="true" t="shared" si="9" ref="E28:J28">E27-E8</f>
        <v>1571</v>
      </c>
      <c r="F28" s="69">
        <f t="shared" si="9"/>
        <v>1375</v>
      </c>
      <c r="G28" s="69">
        <f t="shared" si="9"/>
        <v>4035</v>
      </c>
      <c r="H28" s="69">
        <f t="shared" si="9"/>
        <v>6996</v>
      </c>
      <c r="I28" s="69">
        <f t="shared" si="9"/>
        <v>2422</v>
      </c>
      <c r="J28" s="165">
        <f t="shared" si="9"/>
        <v>766</v>
      </c>
      <c r="K28" s="43">
        <f t="shared" si="0"/>
        <v>17165</v>
      </c>
      <c r="M28" s="7"/>
    </row>
    <row r="29" spans="1:13" ht="18" thickBot="1">
      <c r="A29" s="49">
        <v>20</v>
      </c>
      <c r="B29" s="205" t="s">
        <v>20</v>
      </c>
      <c r="C29" s="218"/>
      <c r="D29" s="219"/>
      <c r="E29" s="153">
        <f aca="true" t="shared" si="10" ref="E29:J29">+E28-E9-E10-E11-E12-E16-E18-E20-E22-E24</f>
        <v>688</v>
      </c>
      <c r="F29" s="72">
        <f t="shared" si="10"/>
        <v>964</v>
      </c>
      <c r="G29" s="72">
        <f t="shared" si="10"/>
        <v>2002</v>
      </c>
      <c r="H29" s="72">
        <f t="shared" si="10"/>
        <v>4607</v>
      </c>
      <c r="I29" s="72">
        <f t="shared" si="10"/>
        <v>1482</v>
      </c>
      <c r="J29" s="166">
        <f t="shared" si="10"/>
        <v>326</v>
      </c>
      <c r="K29" s="45">
        <f t="shared" si="0"/>
        <v>10069</v>
      </c>
      <c r="M29" s="7"/>
    </row>
    <row r="30" spans="1:13" s="10" customFormat="1" ht="36" customHeight="1" thickBot="1" thickTop="1">
      <c r="A30" s="141">
        <v>21</v>
      </c>
      <c r="B30" s="220" t="s">
        <v>52</v>
      </c>
      <c r="C30" s="221"/>
      <c r="D30" s="222"/>
      <c r="E30" s="142">
        <f aca="true" t="shared" si="11" ref="E30:K30">IF(E28=0,0,(IF(E29=0,0,((E29-E6-E7)/(E5-E9-E16-E18)))))</f>
        <v>0.6189138576779026</v>
      </c>
      <c r="F30" s="143">
        <f t="shared" si="11"/>
        <v>0.8346320346320346</v>
      </c>
      <c r="G30" s="143">
        <f t="shared" si="11"/>
        <v>0.36665727963953815</v>
      </c>
      <c r="H30" s="143">
        <f t="shared" si="11"/>
        <v>0.8636543014996053</v>
      </c>
      <c r="I30" s="143">
        <f t="shared" si="11"/>
        <v>0.8910614525139665</v>
      </c>
      <c r="J30" s="143">
        <f t="shared" si="11"/>
        <v>0.4984709480122324</v>
      </c>
      <c r="K30" s="144">
        <f t="shared" si="11"/>
        <v>0.6770389780543727</v>
      </c>
      <c r="M30" s="7"/>
    </row>
    <row r="31" spans="1:13" s="4" customFormat="1" ht="18" thickBot="1" thickTop="1">
      <c r="A31" s="82">
        <v>22</v>
      </c>
      <c r="B31" s="223" t="s">
        <v>32</v>
      </c>
      <c r="C31" s="224"/>
      <c r="D31" s="225"/>
      <c r="E31" s="75">
        <f aca="true" t="shared" si="12" ref="E31:K31">+E29/E5</f>
        <v>0.4371029224904701</v>
      </c>
      <c r="F31" s="75">
        <f t="shared" si="12"/>
        <v>0.6817538896746818</v>
      </c>
      <c r="G31" s="76">
        <f t="shared" si="12"/>
        <v>0.5301906779661016</v>
      </c>
      <c r="H31" s="76">
        <f t="shared" si="12"/>
        <v>0.678697701826753</v>
      </c>
      <c r="I31" s="76">
        <f t="shared" si="12"/>
        <v>0.9391634980988594</v>
      </c>
      <c r="J31" s="76">
        <f t="shared" si="12"/>
        <v>0.42118863049095606</v>
      </c>
      <c r="K31" s="78">
        <f t="shared" si="12"/>
        <v>0.6331111670020121</v>
      </c>
      <c r="M31" s="7"/>
    </row>
    <row r="32" spans="1:13" s="4" customFormat="1" ht="18" thickBot="1" thickTop="1">
      <c r="A32" s="81">
        <v>23</v>
      </c>
      <c r="B32" s="226" t="s">
        <v>21</v>
      </c>
      <c r="C32" s="227"/>
      <c r="D32" s="80" t="s">
        <v>17</v>
      </c>
      <c r="E32" s="73">
        <f aca="true" t="shared" si="13" ref="E32:K32">+E26/E25</f>
        <v>64.35424354243543</v>
      </c>
      <c r="F32" s="74">
        <f t="shared" si="13"/>
        <v>54.25061425061425</v>
      </c>
      <c r="G32" s="74">
        <f t="shared" si="13"/>
        <v>27.33368146214099</v>
      </c>
      <c r="H32" s="74">
        <f t="shared" si="13"/>
        <v>54.17374881964117</v>
      </c>
      <c r="I32" s="74">
        <f t="shared" si="13"/>
        <v>61.883468834688344</v>
      </c>
      <c r="J32" s="74">
        <f t="shared" si="13"/>
        <v>19.703081232493</v>
      </c>
      <c r="K32" s="77">
        <f t="shared" si="13"/>
        <v>46.34341524889729</v>
      </c>
      <c r="M32" s="7"/>
    </row>
    <row r="33" spans="1:4" ht="18" thickTop="1">
      <c r="A33" s="192" t="s">
        <v>58</v>
      </c>
      <c r="B33" s="192"/>
      <c r="C33" s="192"/>
      <c r="D33" s="192"/>
    </row>
    <row r="34" spans="7:10" ht="18" thickBot="1">
      <c r="G34" s="6"/>
      <c r="H34" s="24"/>
      <c r="I34" s="24"/>
      <c r="J34" s="6"/>
    </row>
    <row r="35" spans="3:11" ht="18" thickBot="1" thickTop="1">
      <c r="C35" s="7" t="s">
        <v>61</v>
      </c>
      <c r="E35" s="54">
        <v>100</v>
      </c>
      <c r="F35" s="55">
        <v>31</v>
      </c>
      <c r="G35" s="55">
        <v>558</v>
      </c>
      <c r="H35" s="55">
        <v>279</v>
      </c>
      <c r="I35" s="55">
        <v>202</v>
      </c>
      <c r="J35" s="163">
        <v>91</v>
      </c>
      <c r="K35" s="7"/>
    </row>
    <row r="36" spans="3:13" ht="18" thickBot="1" thickTop="1">
      <c r="C36" s="7" t="s">
        <v>62</v>
      </c>
      <c r="E36" s="25">
        <v>813</v>
      </c>
      <c r="F36" s="26">
        <v>407</v>
      </c>
      <c r="G36" s="26">
        <v>1515</v>
      </c>
      <c r="H36" s="26">
        <v>2118</v>
      </c>
      <c r="I36" s="26">
        <v>681</v>
      </c>
      <c r="J36" s="27">
        <v>357</v>
      </c>
      <c r="K36" s="7"/>
      <c r="L36" s="7"/>
      <c r="M36" s="7"/>
    </row>
    <row r="37" ht="18" thickTop="1"/>
  </sheetData>
  <sheetProtection/>
  <mergeCells count="35">
    <mergeCell ref="A33:D33"/>
    <mergeCell ref="B29:D29"/>
    <mergeCell ref="B30:D30"/>
    <mergeCell ref="B31:D31"/>
    <mergeCell ref="B32:C32"/>
    <mergeCell ref="A25:A26"/>
    <mergeCell ref="C25:C26"/>
    <mergeCell ref="B27:D27"/>
    <mergeCell ref="A16:A17"/>
    <mergeCell ref="B16:B26"/>
    <mergeCell ref="C16:C17"/>
    <mergeCell ref="A18:A19"/>
    <mergeCell ref="C18:C19"/>
    <mergeCell ref="A20:A21"/>
    <mergeCell ref="C20:C21"/>
    <mergeCell ref="A22:A23"/>
    <mergeCell ref="C24:D24"/>
    <mergeCell ref="C9:D9"/>
    <mergeCell ref="C10:D10"/>
    <mergeCell ref="C11:D11"/>
    <mergeCell ref="C13:D13"/>
    <mergeCell ref="B28:D28"/>
    <mergeCell ref="C15:D15"/>
    <mergeCell ref="C12:D12"/>
    <mergeCell ref="C14:D14"/>
    <mergeCell ref="A1:J1"/>
    <mergeCell ref="A2:J2"/>
    <mergeCell ref="A3:J3"/>
    <mergeCell ref="B4:D4"/>
    <mergeCell ref="C22:C23"/>
    <mergeCell ref="B5:D5"/>
    <mergeCell ref="B6:D6"/>
    <mergeCell ref="B7:D7"/>
    <mergeCell ref="B8:B15"/>
    <mergeCell ref="C8:D8"/>
  </mergeCells>
  <printOptions/>
  <pageMargins left="0.1968503937007874" right="0.1968503937007874" top="0.1968503937007874" bottom="0.1968503937007874" header="0" footer="0"/>
  <pageSetup horizontalDpi="600" verticalDpi="600" orientation="landscape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6"/>
  <sheetViews>
    <sheetView zoomScale="90" zoomScaleNormal="90" zoomScalePageLayoutView="0" workbookViewId="0" topLeftCell="A1">
      <selection activeCell="D1" sqref="D1"/>
    </sheetView>
  </sheetViews>
  <sheetFormatPr defaultColWidth="11.421875" defaultRowHeight="12.75"/>
  <cols>
    <col min="1" max="1" width="5.28125" style="1" bestFit="1" customWidth="1"/>
    <col min="2" max="2" width="3.7109375" style="0" bestFit="1" customWidth="1"/>
    <col min="3" max="3" width="34.00390625" style="0" customWidth="1"/>
    <col min="4" max="4" width="14.28125" style="0" bestFit="1" customWidth="1"/>
    <col min="5" max="6" width="5.28125" style="2" bestFit="1" customWidth="1"/>
    <col min="7" max="7" width="6.140625" style="16" bestFit="1" customWidth="1"/>
    <col min="8" max="8" width="5.28125" style="2" bestFit="1" customWidth="1"/>
    <col min="9" max="9" width="5.28125" style="15" bestFit="1" customWidth="1"/>
    <col min="10" max="10" width="5.28125" style="2" bestFit="1" customWidth="1"/>
    <col min="11" max="11" width="6.421875" style="2" bestFit="1" customWidth="1"/>
    <col min="12" max="12" width="7.28125" style="2" bestFit="1" customWidth="1"/>
    <col min="13" max="13" width="7.28125" style="15" bestFit="1" customWidth="1"/>
    <col min="14" max="14" width="5.28125" style="2" bestFit="1" customWidth="1"/>
    <col min="15" max="15" width="7.28125" style="2" customWidth="1"/>
    <col min="16" max="16" width="5.28125" style="2" bestFit="1" customWidth="1"/>
    <col min="17" max="17" width="6.28125" style="2" customWidth="1"/>
    <col min="18" max="18" width="6.140625" style="2" bestFit="1" customWidth="1"/>
    <col min="19" max="19" width="5.57421875" style="2" bestFit="1" customWidth="1"/>
    <col min="20" max="20" width="7.28125" style="2" customWidth="1"/>
    <col min="21" max="21" width="5.28125" style="2" bestFit="1" customWidth="1"/>
    <col min="22" max="22" width="7.28125" style="2" bestFit="1" customWidth="1"/>
    <col min="23" max="26" width="5.28125" style="2" bestFit="1" customWidth="1"/>
    <col min="27" max="27" width="6.140625" style="2" bestFit="1" customWidth="1"/>
    <col min="28" max="28" width="5.28125" style="2" bestFit="1" customWidth="1"/>
    <col min="29" max="29" width="8.28125" style="0" bestFit="1" customWidth="1"/>
    <col min="30" max="30" width="4.28125" style="0" bestFit="1" customWidth="1"/>
    <col min="31" max="31" width="9.140625" style="0" bestFit="1" customWidth="1"/>
    <col min="32" max="32" width="5.57421875" style="0" bestFit="1" customWidth="1"/>
    <col min="33" max="33" width="6.00390625" style="0" bestFit="1" customWidth="1"/>
    <col min="34" max="34" width="4.28125" style="0" bestFit="1" customWidth="1"/>
    <col min="35" max="35" width="5.28125" style="0" bestFit="1" customWidth="1"/>
    <col min="36" max="36" width="0.2890625" style="0" customWidth="1"/>
    <col min="37" max="38" width="5.421875" style="0" bestFit="1" customWidth="1"/>
    <col min="39" max="39" width="4.28125" style="0" bestFit="1" customWidth="1"/>
    <col min="40" max="40" width="5.421875" style="0" bestFit="1" customWidth="1"/>
    <col min="41" max="41" width="5.28125" style="0" bestFit="1" customWidth="1"/>
    <col min="42" max="42" width="5.421875" style="0" bestFit="1" customWidth="1"/>
    <col min="43" max="44" width="4.28125" style="0" bestFit="1" customWidth="1"/>
    <col min="45" max="45" width="5.28125" style="0" bestFit="1" customWidth="1"/>
    <col min="46" max="50" width="4.28125" style="0" bestFit="1" customWidth="1"/>
    <col min="51" max="51" width="5.28125" style="0" bestFit="1" customWidth="1"/>
    <col min="52" max="52" width="4.28125" style="0" bestFit="1" customWidth="1"/>
    <col min="53" max="53" width="5.28125" style="0" bestFit="1" customWidth="1"/>
    <col min="54" max="54" width="6.421875" style="0" bestFit="1" customWidth="1"/>
  </cols>
  <sheetData>
    <row r="1" spans="1:29" ht="15">
      <c r="A1" s="250" t="s">
        <v>2</v>
      </c>
      <c r="B1" s="250"/>
      <c r="C1" s="250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</row>
    <row r="2" spans="1:29" ht="12.75">
      <c r="A2" s="231" t="s">
        <v>3</v>
      </c>
      <c r="B2" s="231"/>
      <c r="C2" s="23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</row>
    <row r="3" spans="1:29" ht="14.25" thickBot="1">
      <c r="A3" s="251" t="s">
        <v>63</v>
      </c>
      <c r="B3" s="251"/>
      <c r="C3" s="25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29" ht="105" thickBot="1" thickTop="1">
      <c r="A4" s="140" t="s">
        <v>4</v>
      </c>
      <c r="B4" s="234" t="s">
        <v>5</v>
      </c>
      <c r="C4" s="235"/>
      <c r="D4" s="236"/>
      <c r="E4" s="85" t="s">
        <v>38</v>
      </c>
      <c r="F4" s="85" t="s">
        <v>46</v>
      </c>
      <c r="G4" s="85" t="s">
        <v>37</v>
      </c>
      <c r="H4" s="85" t="s">
        <v>59</v>
      </c>
      <c r="I4" s="85" t="s">
        <v>26</v>
      </c>
      <c r="J4" s="85" t="s">
        <v>27</v>
      </c>
      <c r="K4" s="85" t="s">
        <v>47</v>
      </c>
      <c r="L4" s="85" t="s">
        <v>6</v>
      </c>
      <c r="M4" s="85" t="s">
        <v>7</v>
      </c>
      <c r="N4" s="85" t="s">
        <v>48</v>
      </c>
      <c r="O4" s="85" t="s">
        <v>64</v>
      </c>
      <c r="P4" s="85" t="s">
        <v>53</v>
      </c>
      <c r="Q4" s="85" t="s">
        <v>8</v>
      </c>
      <c r="R4" s="85" t="s">
        <v>9</v>
      </c>
      <c r="S4" s="85" t="s">
        <v>56</v>
      </c>
      <c r="T4" s="85" t="s">
        <v>10</v>
      </c>
      <c r="U4" s="85" t="s">
        <v>55</v>
      </c>
      <c r="V4" s="85" t="s">
        <v>12</v>
      </c>
      <c r="W4" s="85" t="s">
        <v>54</v>
      </c>
      <c r="X4" s="85" t="s">
        <v>25</v>
      </c>
      <c r="Y4" s="85" t="s">
        <v>60</v>
      </c>
      <c r="Z4" s="85" t="s">
        <v>57</v>
      </c>
      <c r="AA4" s="85" t="s">
        <v>24</v>
      </c>
      <c r="AB4" s="85" t="s">
        <v>11</v>
      </c>
      <c r="AC4" s="85" t="s">
        <v>13</v>
      </c>
    </row>
    <row r="5" spans="1:31" ht="15" thickBot="1" thickTop="1">
      <c r="A5" s="86">
        <v>1</v>
      </c>
      <c r="B5" s="239" t="s">
        <v>14</v>
      </c>
      <c r="C5" s="240"/>
      <c r="D5" s="240"/>
      <c r="E5" s="87">
        <v>155</v>
      </c>
      <c r="F5" s="88">
        <v>13</v>
      </c>
      <c r="G5" s="88">
        <v>694</v>
      </c>
      <c r="H5" s="88">
        <v>31</v>
      </c>
      <c r="I5" s="88">
        <v>31</v>
      </c>
      <c r="J5" s="88">
        <v>18</v>
      </c>
      <c r="K5" s="88">
        <v>31</v>
      </c>
      <c r="L5" s="88">
        <v>95</v>
      </c>
      <c r="M5" s="88">
        <v>993</v>
      </c>
      <c r="N5" s="88">
        <v>93</v>
      </c>
      <c r="O5" s="88">
        <v>57</v>
      </c>
      <c r="P5" s="88">
        <v>62</v>
      </c>
      <c r="Q5" s="88">
        <v>5</v>
      </c>
      <c r="R5" s="88">
        <v>62</v>
      </c>
      <c r="S5" s="88">
        <v>8</v>
      </c>
      <c r="T5" s="88">
        <v>57</v>
      </c>
      <c r="U5" s="88">
        <v>31</v>
      </c>
      <c r="V5" s="88">
        <v>93</v>
      </c>
      <c r="W5" s="88">
        <v>35</v>
      </c>
      <c r="X5" s="88">
        <v>93</v>
      </c>
      <c r="Y5" s="88">
        <v>22</v>
      </c>
      <c r="Z5" s="88">
        <v>66</v>
      </c>
      <c r="AA5" s="88">
        <v>77</v>
      </c>
      <c r="AB5" s="88">
        <v>13</v>
      </c>
      <c r="AC5" s="89">
        <f aca="true" t="shared" si="0" ref="AC5:AC29">SUM(E5:AB5)</f>
        <v>2835</v>
      </c>
      <c r="AE5" s="8"/>
    </row>
    <row r="6" spans="1:32" ht="15" thickBot="1" thickTop="1">
      <c r="A6" s="90">
        <v>2</v>
      </c>
      <c r="B6" s="229" t="s">
        <v>15</v>
      </c>
      <c r="C6" s="230"/>
      <c r="D6" s="230"/>
      <c r="E6" s="92">
        <v>0</v>
      </c>
      <c r="F6" s="93">
        <v>0</v>
      </c>
      <c r="G6" s="93">
        <v>0</v>
      </c>
      <c r="H6" s="93">
        <v>0</v>
      </c>
      <c r="I6" s="93">
        <v>0</v>
      </c>
      <c r="J6" s="93">
        <v>0</v>
      </c>
      <c r="K6" s="93">
        <v>0</v>
      </c>
      <c r="L6" s="93">
        <v>0</v>
      </c>
      <c r="M6" s="94">
        <v>0</v>
      </c>
      <c r="N6" s="94">
        <v>0</v>
      </c>
      <c r="O6" s="94">
        <v>0</v>
      </c>
      <c r="P6" s="94">
        <v>0</v>
      </c>
      <c r="Q6" s="94">
        <v>0</v>
      </c>
      <c r="R6" s="94">
        <v>0</v>
      </c>
      <c r="S6" s="94">
        <v>0</v>
      </c>
      <c r="T6" s="94">
        <v>0</v>
      </c>
      <c r="U6" s="94">
        <v>0</v>
      </c>
      <c r="V6" s="94">
        <v>0</v>
      </c>
      <c r="W6" s="94">
        <v>0</v>
      </c>
      <c r="X6" s="94">
        <v>0</v>
      </c>
      <c r="Y6" s="94">
        <v>0</v>
      </c>
      <c r="Z6" s="94">
        <v>0</v>
      </c>
      <c r="AA6" s="94">
        <v>0</v>
      </c>
      <c r="AB6" s="94">
        <v>0</v>
      </c>
      <c r="AC6" s="95">
        <f t="shared" si="0"/>
        <v>0</v>
      </c>
      <c r="AE6" s="8"/>
      <c r="AF6" s="8"/>
    </row>
    <row r="7" spans="1:31" ht="15" thickBot="1" thickTop="1">
      <c r="A7" s="96">
        <v>3</v>
      </c>
      <c r="B7" s="229" t="s">
        <v>33</v>
      </c>
      <c r="C7" s="230"/>
      <c r="D7" s="241"/>
      <c r="E7" s="155">
        <v>0</v>
      </c>
      <c r="F7" s="97">
        <v>0</v>
      </c>
      <c r="G7" s="97">
        <v>0</v>
      </c>
      <c r="H7" s="97">
        <v>0</v>
      </c>
      <c r="I7" s="97">
        <v>0</v>
      </c>
      <c r="J7" s="97">
        <v>0</v>
      </c>
      <c r="K7" s="97">
        <v>0</v>
      </c>
      <c r="L7" s="97">
        <v>0</v>
      </c>
      <c r="M7" s="98">
        <v>6</v>
      </c>
      <c r="N7" s="98">
        <v>0</v>
      </c>
      <c r="O7" s="98">
        <v>0</v>
      </c>
      <c r="P7" s="98">
        <v>0</v>
      </c>
      <c r="Q7" s="98">
        <v>0</v>
      </c>
      <c r="R7" s="98">
        <v>0</v>
      </c>
      <c r="S7" s="98">
        <v>0</v>
      </c>
      <c r="T7" s="98">
        <v>0</v>
      </c>
      <c r="U7" s="98">
        <v>0</v>
      </c>
      <c r="V7" s="98">
        <v>0</v>
      </c>
      <c r="W7" s="98">
        <v>0</v>
      </c>
      <c r="X7" s="98">
        <v>0</v>
      </c>
      <c r="Y7" s="98">
        <v>0</v>
      </c>
      <c r="Z7" s="98">
        <v>0</v>
      </c>
      <c r="AA7" s="98">
        <v>0</v>
      </c>
      <c r="AB7" s="98">
        <v>0</v>
      </c>
      <c r="AC7" s="99">
        <f t="shared" si="0"/>
        <v>6</v>
      </c>
      <c r="AE7" s="8"/>
    </row>
    <row r="8" spans="1:31" ht="14.25" customHeight="1" thickBot="1" thickTop="1">
      <c r="A8" s="100">
        <v>4</v>
      </c>
      <c r="B8" s="242" t="s">
        <v>0</v>
      </c>
      <c r="C8" s="229" t="s">
        <v>34</v>
      </c>
      <c r="D8" s="230"/>
      <c r="E8" s="92">
        <v>0</v>
      </c>
      <c r="F8" s="93">
        <v>0</v>
      </c>
      <c r="G8" s="94">
        <v>5</v>
      </c>
      <c r="H8" s="94">
        <v>0</v>
      </c>
      <c r="I8" s="94">
        <v>12</v>
      </c>
      <c r="J8" s="94">
        <v>0</v>
      </c>
      <c r="K8" s="94">
        <v>0</v>
      </c>
      <c r="L8" s="94">
        <v>0</v>
      </c>
      <c r="M8" s="94">
        <v>0</v>
      </c>
      <c r="N8" s="94">
        <v>0</v>
      </c>
      <c r="O8" s="94">
        <v>0</v>
      </c>
      <c r="P8" s="101">
        <v>0</v>
      </c>
      <c r="Q8" s="93">
        <v>0</v>
      </c>
      <c r="R8" s="93">
        <v>0</v>
      </c>
      <c r="S8" s="93">
        <v>0</v>
      </c>
      <c r="T8" s="93">
        <v>0</v>
      </c>
      <c r="U8" s="93">
        <v>0</v>
      </c>
      <c r="V8" s="93">
        <v>0</v>
      </c>
      <c r="W8" s="93">
        <v>0</v>
      </c>
      <c r="X8" s="93">
        <v>0</v>
      </c>
      <c r="Y8" s="93">
        <v>0</v>
      </c>
      <c r="Z8" s="93">
        <v>0</v>
      </c>
      <c r="AA8" s="93">
        <v>0</v>
      </c>
      <c r="AB8" s="93">
        <v>0</v>
      </c>
      <c r="AC8" s="99">
        <f t="shared" si="0"/>
        <v>17</v>
      </c>
      <c r="AE8" s="8"/>
    </row>
    <row r="9" spans="1:31" ht="18.75" customHeight="1" thickBot="1" thickTop="1">
      <c r="A9" s="103">
        <v>5</v>
      </c>
      <c r="B9" s="243"/>
      <c r="C9" s="229" t="s">
        <v>29</v>
      </c>
      <c r="D9" s="230"/>
      <c r="E9" s="104">
        <v>0</v>
      </c>
      <c r="F9" s="105">
        <v>0</v>
      </c>
      <c r="G9" s="105">
        <v>3</v>
      </c>
      <c r="H9" s="105">
        <v>0</v>
      </c>
      <c r="I9" s="106">
        <v>0</v>
      </c>
      <c r="J9" s="106">
        <v>0</v>
      </c>
      <c r="K9" s="106">
        <v>0</v>
      </c>
      <c r="L9" s="106">
        <v>0</v>
      </c>
      <c r="M9" s="106">
        <v>2</v>
      </c>
      <c r="N9" s="106">
        <v>2</v>
      </c>
      <c r="O9" s="106">
        <v>0</v>
      </c>
      <c r="P9" s="107">
        <v>0</v>
      </c>
      <c r="Q9" s="107">
        <v>0</v>
      </c>
      <c r="R9" s="107">
        <v>0</v>
      </c>
      <c r="S9" s="107">
        <v>0</v>
      </c>
      <c r="T9" s="107">
        <v>0</v>
      </c>
      <c r="U9" s="107">
        <v>0</v>
      </c>
      <c r="V9" s="107">
        <v>0</v>
      </c>
      <c r="W9" s="107">
        <v>0</v>
      </c>
      <c r="X9" s="107">
        <v>0</v>
      </c>
      <c r="Y9" s="107">
        <v>0</v>
      </c>
      <c r="Z9" s="107">
        <v>0</v>
      </c>
      <c r="AA9" s="107">
        <v>0</v>
      </c>
      <c r="AB9" s="107">
        <v>0</v>
      </c>
      <c r="AC9" s="99">
        <f t="shared" si="0"/>
        <v>7</v>
      </c>
      <c r="AE9" s="8"/>
    </row>
    <row r="10" spans="1:31" ht="18.75" customHeight="1" thickBot="1" thickTop="1">
      <c r="A10" s="103">
        <v>6</v>
      </c>
      <c r="B10" s="243"/>
      <c r="C10" s="229" t="s">
        <v>30</v>
      </c>
      <c r="D10" s="230"/>
      <c r="E10" s="104">
        <v>0</v>
      </c>
      <c r="F10" s="105">
        <v>0</v>
      </c>
      <c r="G10" s="106">
        <v>3</v>
      </c>
      <c r="H10" s="106">
        <v>0</v>
      </c>
      <c r="I10" s="106">
        <v>0</v>
      </c>
      <c r="J10" s="106">
        <v>0</v>
      </c>
      <c r="K10" s="106">
        <v>0</v>
      </c>
      <c r="L10" s="106">
        <v>0</v>
      </c>
      <c r="M10" s="106">
        <v>2</v>
      </c>
      <c r="N10" s="106">
        <v>0</v>
      </c>
      <c r="O10" s="106">
        <v>1</v>
      </c>
      <c r="P10" s="107">
        <v>0</v>
      </c>
      <c r="Q10" s="107">
        <v>0</v>
      </c>
      <c r="R10" s="107">
        <v>1</v>
      </c>
      <c r="S10" s="107">
        <v>0</v>
      </c>
      <c r="T10" s="107">
        <v>0</v>
      </c>
      <c r="U10" s="107">
        <v>0</v>
      </c>
      <c r="V10" s="106">
        <v>0</v>
      </c>
      <c r="W10" s="106">
        <v>0</v>
      </c>
      <c r="X10" s="106">
        <v>0</v>
      </c>
      <c r="Y10" s="106">
        <v>0</v>
      </c>
      <c r="Z10" s="106">
        <v>0</v>
      </c>
      <c r="AA10" s="106">
        <v>0</v>
      </c>
      <c r="AB10" s="106">
        <v>0</v>
      </c>
      <c r="AC10" s="99">
        <f t="shared" si="0"/>
        <v>7</v>
      </c>
      <c r="AE10" s="8"/>
    </row>
    <row r="11" spans="1:31" ht="18" customHeight="1" thickBot="1" thickTop="1">
      <c r="A11" s="103">
        <v>7</v>
      </c>
      <c r="B11" s="243"/>
      <c r="C11" s="229" t="s">
        <v>31</v>
      </c>
      <c r="D11" s="230"/>
      <c r="E11" s="109">
        <v>0</v>
      </c>
      <c r="F11" s="110">
        <v>0</v>
      </c>
      <c r="G11" s="111">
        <v>0</v>
      </c>
      <c r="H11" s="111">
        <v>0</v>
      </c>
      <c r="I11" s="111">
        <v>0</v>
      </c>
      <c r="J11" s="111">
        <v>0</v>
      </c>
      <c r="K11" s="111">
        <v>0</v>
      </c>
      <c r="L11" s="111">
        <v>0</v>
      </c>
      <c r="M11" s="111">
        <v>0</v>
      </c>
      <c r="N11" s="111">
        <v>0</v>
      </c>
      <c r="O11" s="111">
        <v>0</v>
      </c>
      <c r="P11" s="112">
        <v>0</v>
      </c>
      <c r="Q11" s="112">
        <v>0</v>
      </c>
      <c r="R11" s="112">
        <v>0</v>
      </c>
      <c r="S11" s="112">
        <v>0</v>
      </c>
      <c r="T11" s="112">
        <v>0</v>
      </c>
      <c r="U11" s="112">
        <v>0</v>
      </c>
      <c r="V11" s="111">
        <v>1</v>
      </c>
      <c r="W11" s="111">
        <v>0</v>
      </c>
      <c r="X11" s="111">
        <v>0</v>
      </c>
      <c r="Y11" s="111">
        <v>0</v>
      </c>
      <c r="Z11" s="111">
        <v>0</v>
      </c>
      <c r="AA11" s="111">
        <v>0</v>
      </c>
      <c r="AB11" s="111">
        <v>0</v>
      </c>
      <c r="AC11" s="99">
        <f t="shared" si="0"/>
        <v>1</v>
      </c>
      <c r="AE11" s="8"/>
    </row>
    <row r="12" spans="1:31" ht="18.75" customHeight="1" thickBot="1" thickTop="1">
      <c r="A12" s="103">
        <v>8</v>
      </c>
      <c r="B12" s="243"/>
      <c r="C12" s="229" t="s">
        <v>44</v>
      </c>
      <c r="D12" s="230"/>
      <c r="E12" s="114">
        <f>IF((E8+E9+E10+E11)&gt;E35,0,(+E35-E8-E9-E10-E11))</f>
        <v>4</v>
      </c>
      <c r="F12" s="115">
        <f>IF((F8+F9+F10+F11)&gt;F35,0,(+F35-F8-F9-F10-F11))</f>
        <v>0</v>
      </c>
      <c r="G12" s="115">
        <f aca="true" t="shared" si="1" ref="G12:AB12">IF((G8+G9+G10+G11)&gt;G35,0,(+G35-G8-G9-G10-G11))</f>
        <v>0</v>
      </c>
      <c r="H12" s="115">
        <f t="shared" si="1"/>
        <v>0</v>
      </c>
      <c r="I12" s="115">
        <f t="shared" si="1"/>
        <v>0</v>
      </c>
      <c r="J12" s="115">
        <f t="shared" si="1"/>
        <v>5</v>
      </c>
      <c r="K12" s="115">
        <f t="shared" si="1"/>
        <v>0</v>
      </c>
      <c r="L12" s="115">
        <f t="shared" si="1"/>
        <v>2</v>
      </c>
      <c r="M12" s="115">
        <f t="shared" si="1"/>
        <v>0</v>
      </c>
      <c r="N12" s="115">
        <f t="shared" si="1"/>
        <v>0</v>
      </c>
      <c r="O12" s="115">
        <f>IF((O8+O9+O10+O11)&gt;O35,0,(+O35-O8-O9-O10-O11))</f>
        <v>5</v>
      </c>
      <c r="P12" s="115">
        <f t="shared" si="1"/>
        <v>1</v>
      </c>
      <c r="Q12" s="115">
        <f t="shared" si="1"/>
        <v>0</v>
      </c>
      <c r="R12" s="115">
        <f t="shared" si="1"/>
        <v>0</v>
      </c>
      <c r="S12" s="115">
        <f t="shared" si="1"/>
        <v>7</v>
      </c>
      <c r="T12" s="115">
        <f t="shared" si="1"/>
        <v>15</v>
      </c>
      <c r="U12" s="115">
        <f>IF((U8+U9+U10+U11)&gt;U35,0,(+U35-U8-U9-U10-U11))</f>
        <v>1</v>
      </c>
      <c r="V12" s="115">
        <f t="shared" si="1"/>
        <v>18</v>
      </c>
      <c r="W12" s="115">
        <v>0</v>
      </c>
      <c r="X12" s="115">
        <f t="shared" si="1"/>
        <v>18</v>
      </c>
      <c r="Y12" s="115">
        <f>IF((Y8+Y9+Y10+Y11)&gt;Y35,0,(+Y35-Y8-Y9-Y10-Y11))</f>
        <v>4</v>
      </c>
      <c r="Z12" s="115">
        <f>IF((Z8+Z9+Z10+Z11)&gt;Z35,0,(+Z35-Z8-Z9-Z10-Z11))</f>
        <v>0</v>
      </c>
      <c r="AA12" s="115">
        <f t="shared" si="1"/>
        <v>7</v>
      </c>
      <c r="AB12" s="115">
        <f t="shared" si="1"/>
        <v>0</v>
      </c>
      <c r="AC12" s="156">
        <f t="shared" si="0"/>
        <v>87</v>
      </c>
      <c r="AE12" s="8"/>
    </row>
    <row r="13" spans="1:31" ht="18.75" customHeight="1" thickBot="1" thickTop="1">
      <c r="A13" s="103">
        <v>9</v>
      </c>
      <c r="B13" s="243"/>
      <c r="C13" s="229" t="s">
        <v>49</v>
      </c>
      <c r="D13" s="230"/>
      <c r="E13" s="117">
        <f>E8+E9</f>
        <v>0</v>
      </c>
      <c r="F13" s="118">
        <f aca="true" t="shared" si="2" ref="F13:AB13">F8+F9</f>
        <v>0</v>
      </c>
      <c r="G13" s="118">
        <f t="shared" si="2"/>
        <v>8</v>
      </c>
      <c r="H13" s="118">
        <f>H8+H9</f>
        <v>0</v>
      </c>
      <c r="I13" s="118">
        <f t="shared" si="2"/>
        <v>12</v>
      </c>
      <c r="J13" s="118">
        <f>J8+J9</f>
        <v>0</v>
      </c>
      <c r="K13" s="118">
        <f>K8+K9</f>
        <v>0</v>
      </c>
      <c r="L13" s="118">
        <f t="shared" si="2"/>
        <v>0</v>
      </c>
      <c r="M13" s="118">
        <f>M8+M9</f>
        <v>2</v>
      </c>
      <c r="N13" s="118">
        <f>N8+N9</f>
        <v>2</v>
      </c>
      <c r="O13" s="118">
        <f>O8+O9</f>
        <v>0</v>
      </c>
      <c r="P13" s="118">
        <f>P8+P9</f>
        <v>0</v>
      </c>
      <c r="Q13" s="118">
        <f t="shared" si="2"/>
        <v>0</v>
      </c>
      <c r="R13" s="118">
        <f t="shared" si="2"/>
        <v>0</v>
      </c>
      <c r="S13" s="118">
        <f>S8+S9</f>
        <v>0</v>
      </c>
      <c r="T13" s="118">
        <f t="shared" si="2"/>
        <v>0</v>
      </c>
      <c r="U13" s="118">
        <f>U8+U9</f>
        <v>0</v>
      </c>
      <c r="V13" s="118">
        <f t="shared" si="2"/>
        <v>0</v>
      </c>
      <c r="W13" s="118">
        <f>W8+W9</f>
        <v>0</v>
      </c>
      <c r="X13" s="118">
        <f t="shared" si="2"/>
        <v>0</v>
      </c>
      <c r="Y13" s="118">
        <f>Y8+Y9</f>
        <v>0</v>
      </c>
      <c r="Z13" s="118">
        <f>Z8+Z9</f>
        <v>0</v>
      </c>
      <c r="AA13" s="118">
        <f t="shared" si="2"/>
        <v>0</v>
      </c>
      <c r="AB13" s="118">
        <f t="shared" si="2"/>
        <v>0</v>
      </c>
      <c r="AC13" s="102">
        <f t="shared" si="0"/>
        <v>24</v>
      </c>
      <c r="AE13" s="8"/>
    </row>
    <row r="14" spans="1:31" ht="18.75" customHeight="1" thickBot="1" thickTop="1">
      <c r="A14" s="103">
        <v>10</v>
      </c>
      <c r="B14" s="243"/>
      <c r="C14" s="229" t="s">
        <v>50</v>
      </c>
      <c r="D14" s="230"/>
      <c r="E14" s="119">
        <f>E10+E11</f>
        <v>0</v>
      </c>
      <c r="F14" s="120">
        <f aca="true" t="shared" si="3" ref="F14:AB14">F10+F11</f>
        <v>0</v>
      </c>
      <c r="G14" s="120">
        <f t="shared" si="3"/>
        <v>3</v>
      </c>
      <c r="H14" s="120">
        <f>H10+H11</f>
        <v>0</v>
      </c>
      <c r="I14" s="120">
        <f t="shared" si="3"/>
        <v>0</v>
      </c>
      <c r="J14" s="120">
        <f t="shared" si="3"/>
        <v>0</v>
      </c>
      <c r="K14" s="120">
        <f t="shared" si="3"/>
        <v>0</v>
      </c>
      <c r="L14" s="120">
        <f t="shared" si="3"/>
        <v>0</v>
      </c>
      <c r="M14" s="120">
        <f>M10+M11</f>
        <v>2</v>
      </c>
      <c r="N14" s="120">
        <f>N10+N11</f>
        <v>0</v>
      </c>
      <c r="O14" s="120">
        <f>O10+O11</f>
        <v>1</v>
      </c>
      <c r="P14" s="120">
        <f>P10+P11</f>
        <v>0</v>
      </c>
      <c r="Q14" s="120">
        <f t="shared" si="3"/>
        <v>0</v>
      </c>
      <c r="R14" s="120">
        <f t="shared" si="3"/>
        <v>1</v>
      </c>
      <c r="S14" s="120">
        <f>S10+S11</f>
        <v>0</v>
      </c>
      <c r="T14" s="120">
        <f t="shared" si="3"/>
        <v>0</v>
      </c>
      <c r="U14" s="120">
        <f>U10+U11</f>
        <v>0</v>
      </c>
      <c r="V14" s="120">
        <f t="shared" si="3"/>
        <v>1</v>
      </c>
      <c r="W14" s="120">
        <f>W10+W11</f>
        <v>0</v>
      </c>
      <c r="X14" s="120">
        <f t="shared" si="3"/>
        <v>0</v>
      </c>
      <c r="Y14" s="120">
        <f>Y10+Y11</f>
        <v>0</v>
      </c>
      <c r="Z14" s="120">
        <f>Z10+Z11</f>
        <v>0</v>
      </c>
      <c r="AA14" s="120">
        <f t="shared" si="3"/>
        <v>0</v>
      </c>
      <c r="AB14" s="120">
        <f t="shared" si="3"/>
        <v>0</v>
      </c>
      <c r="AC14" s="113">
        <f t="shared" si="0"/>
        <v>8</v>
      </c>
      <c r="AE14" s="8"/>
    </row>
    <row r="15" spans="1:31" ht="24.75" customHeight="1" thickBot="1" thickTop="1">
      <c r="A15" s="103">
        <v>11</v>
      </c>
      <c r="B15" s="244"/>
      <c r="C15" s="237" t="s">
        <v>23</v>
      </c>
      <c r="D15" s="238"/>
      <c r="E15" s="160">
        <f>IF((E8+E9+E10+E11)&gt;E35,(E8+E9+E10+E11),E35)</f>
        <v>4</v>
      </c>
      <c r="F15" s="161">
        <f>IF((F8+F9+F10+F11)&gt;F35,(F8+F9+F10+F11),F35)</f>
        <v>0</v>
      </c>
      <c r="G15" s="161">
        <f aca="true" t="shared" si="4" ref="G15:AB15">IF((G8+G9+G10+G11)&gt;G35,(G8+G9+G10+G11),G35)</f>
        <v>11</v>
      </c>
      <c r="H15" s="161">
        <f t="shared" si="4"/>
        <v>0</v>
      </c>
      <c r="I15" s="161">
        <f t="shared" si="4"/>
        <v>12</v>
      </c>
      <c r="J15" s="161">
        <f t="shared" si="4"/>
        <v>5</v>
      </c>
      <c r="K15" s="161">
        <f t="shared" si="4"/>
        <v>0</v>
      </c>
      <c r="L15" s="161">
        <f t="shared" si="4"/>
        <v>2</v>
      </c>
      <c r="M15" s="161">
        <f t="shared" si="4"/>
        <v>4</v>
      </c>
      <c r="N15" s="161">
        <f t="shared" si="4"/>
        <v>2</v>
      </c>
      <c r="O15" s="161">
        <f>IF((O8+O9+O10+O11)&gt;O35,(O8+O9+O10+O11),O35)</f>
        <v>6</v>
      </c>
      <c r="P15" s="161">
        <f t="shared" si="4"/>
        <v>1</v>
      </c>
      <c r="Q15" s="161">
        <f t="shared" si="4"/>
        <v>0</v>
      </c>
      <c r="R15" s="161">
        <f t="shared" si="4"/>
        <v>1</v>
      </c>
      <c r="S15" s="161">
        <f t="shared" si="4"/>
        <v>7</v>
      </c>
      <c r="T15" s="161">
        <f t="shared" si="4"/>
        <v>15</v>
      </c>
      <c r="U15" s="161">
        <f>IF((U8+U9+U10+U11)&gt;U35,(U8+U9+U10+U11),U35)</f>
        <v>1</v>
      </c>
      <c r="V15" s="161">
        <f t="shared" si="4"/>
        <v>19</v>
      </c>
      <c r="W15" s="161">
        <f t="shared" si="4"/>
        <v>1</v>
      </c>
      <c r="X15" s="161">
        <f t="shared" si="4"/>
        <v>18</v>
      </c>
      <c r="Y15" s="161">
        <f>IF((Y8+Y9+Y10+Y11)&gt;Y35,(Y8+Y9+Y10+Y11),Y35)</f>
        <v>4</v>
      </c>
      <c r="Z15" s="161">
        <f t="shared" si="4"/>
        <v>0</v>
      </c>
      <c r="AA15" s="161">
        <f t="shared" si="4"/>
        <v>7</v>
      </c>
      <c r="AB15" s="161">
        <f t="shared" si="4"/>
        <v>0</v>
      </c>
      <c r="AC15" s="162">
        <f t="shared" si="0"/>
        <v>120</v>
      </c>
      <c r="AE15" s="8"/>
    </row>
    <row r="16" spans="1:31" ht="18" customHeight="1" thickBot="1" thickTop="1">
      <c r="A16" s="263">
        <v>12</v>
      </c>
      <c r="B16" s="242" t="s">
        <v>1</v>
      </c>
      <c r="C16" s="245" t="s">
        <v>28</v>
      </c>
      <c r="D16" s="91" t="s">
        <v>16</v>
      </c>
      <c r="E16" s="92">
        <v>0</v>
      </c>
      <c r="F16" s="93">
        <v>0</v>
      </c>
      <c r="G16" s="93">
        <v>19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93">
        <v>0</v>
      </c>
      <c r="P16" s="93">
        <v>0</v>
      </c>
      <c r="Q16" s="93">
        <v>0</v>
      </c>
      <c r="R16" s="93">
        <v>0</v>
      </c>
      <c r="S16" s="93">
        <v>0</v>
      </c>
      <c r="T16" s="93">
        <v>0</v>
      </c>
      <c r="U16" s="93">
        <v>0</v>
      </c>
      <c r="V16" s="93">
        <v>0</v>
      </c>
      <c r="W16" s="93">
        <v>0</v>
      </c>
      <c r="X16" s="93">
        <v>0</v>
      </c>
      <c r="Y16" s="93">
        <v>0</v>
      </c>
      <c r="Z16" s="93">
        <v>0</v>
      </c>
      <c r="AA16" s="93">
        <v>0</v>
      </c>
      <c r="AB16" s="93">
        <v>0</v>
      </c>
      <c r="AC16" s="102">
        <f t="shared" si="0"/>
        <v>19</v>
      </c>
      <c r="AE16" s="8"/>
    </row>
    <row r="17" spans="1:31" ht="18.75" customHeight="1" thickBot="1" thickTop="1">
      <c r="A17" s="248"/>
      <c r="B17" s="243"/>
      <c r="C17" s="246"/>
      <c r="D17" s="91" t="s">
        <v>17</v>
      </c>
      <c r="E17" s="104">
        <v>0</v>
      </c>
      <c r="F17" s="105">
        <v>0</v>
      </c>
      <c r="G17" s="105">
        <f>7*60+2</f>
        <v>422</v>
      </c>
      <c r="H17" s="105">
        <v>0</v>
      </c>
      <c r="I17" s="105">
        <v>0</v>
      </c>
      <c r="J17" s="105">
        <v>0</v>
      </c>
      <c r="K17" s="105">
        <v>0</v>
      </c>
      <c r="L17" s="105">
        <v>0</v>
      </c>
      <c r="M17" s="105">
        <v>0</v>
      </c>
      <c r="N17" s="105">
        <v>0</v>
      </c>
      <c r="O17" s="105">
        <v>0</v>
      </c>
      <c r="P17" s="105">
        <v>0</v>
      </c>
      <c r="Q17" s="105">
        <v>0</v>
      </c>
      <c r="R17" s="105">
        <v>0</v>
      </c>
      <c r="S17" s="105">
        <v>0</v>
      </c>
      <c r="T17" s="105">
        <v>0</v>
      </c>
      <c r="U17" s="93">
        <v>0</v>
      </c>
      <c r="V17" s="105">
        <v>0</v>
      </c>
      <c r="W17" s="105">
        <v>0</v>
      </c>
      <c r="X17" s="105">
        <v>0</v>
      </c>
      <c r="Y17" s="105">
        <v>0</v>
      </c>
      <c r="Z17" s="93">
        <v>0</v>
      </c>
      <c r="AA17" s="105">
        <v>0</v>
      </c>
      <c r="AB17" s="105">
        <v>0</v>
      </c>
      <c r="AC17" s="108">
        <f t="shared" si="0"/>
        <v>422</v>
      </c>
      <c r="AE17" s="8"/>
    </row>
    <row r="18" spans="1:31" ht="18.75" customHeight="1" thickBot="1" thickTop="1">
      <c r="A18" s="247">
        <v>13</v>
      </c>
      <c r="B18" s="243"/>
      <c r="C18" s="245" t="s">
        <v>35</v>
      </c>
      <c r="D18" s="91" t="s">
        <v>16</v>
      </c>
      <c r="E18" s="104">
        <v>0</v>
      </c>
      <c r="F18" s="105">
        <v>1</v>
      </c>
      <c r="G18" s="106">
        <v>39</v>
      </c>
      <c r="H18" s="106">
        <v>0</v>
      </c>
      <c r="I18" s="106">
        <v>0</v>
      </c>
      <c r="J18" s="106">
        <v>1</v>
      </c>
      <c r="K18" s="105">
        <v>7</v>
      </c>
      <c r="L18" s="106">
        <v>4</v>
      </c>
      <c r="M18" s="106">
        <v>150</v>
      </c>
      <c r="N18" s="106">
        <v>7</v>
      </c>
      <c r="O18" s="106">
        <v>0</v>
      </c>
      <c r="P18" s="106">
        <v>6</v>
      </c>
      <c r="Q18" s="105">
        <v>0</v>
      </c>
      <c r="R18" s="106">
        <v>10</v>
      </c>
      <c r="S18" s="105">
        <v>0</v>
      </c>
      <c r="T18" s="106">
        <v>18</v>
      </c>
      <c r="U18" s="93">
        <v>0</v>
      </c>
      <c r="V18" s="106">
        <v>6</v>
      </c>
      <c r="W18" s="105">
        <v>1</v>
      </c>
      <c r="X18" s="105">
        <v>1</v>
      </c>
      <c r="Y18" s="105">
        <v>5</v>
      </c>
      <c r="Z18" s="93">
        <v>0</v>
      </c>
      <c r="AA18" s="106">
        <v>4</v>
      </c>
      <c r="AB18" s="106">
        <v>0</v>
      </c>
      <c r="AC18" s="108">
        <f t="shared" si="0"/>
        <v>260</v>
      </c>
      <c r="AE18" s="8"/>
    </row>
    <row r="19" spans="1:31" ht="18.75" customHeight="1" thickBot="1" thickTop="1">
      <c r="A19" s="248"/>
      <c r="B19" s="243"/>
      <c r="C19" s="246"/>
      <c r="D19" s="91" t="s">
        <v>17</v>
      </c>
      <c r="E19" s="104">
        <v>0</v>
      </c>
      <c r="F19" s="105">
        <f>3*60+6</f>
        <v>186</v>
      </c>
      <c r="G19" s="106">
        <f>40*60+14</f>
        <v>2414</v>
      </c>
      <c r="H19" s="106">
        <v>0</v>
      </c>
      <c r="I19" s="106">
        <v>0</v>
      </c>
      <c r="J19" s="106">
        <v>60</v>
      </c>
      <c r="K19" s="105">
        <f>7*60+13</f>
        <v>433</v>
      </c>
      <c r="L19" s="106">
        <f>283*60</f>
        <v>16980</v>
      </c>
      <c r="M19" s="106">
        <v>6973</v>
      </c>
      <c r="N19" s="106">
        <f>3*60+15</f>
        <v>195</v>
      </c>
      <c r="O19" s="106">
        <v>0</v>
      </c>
      <c r="P19" s="106">
        <f>2*60+37</f>
        <v>157</v>
      </c>
      <c r="Q19" s="105">
        <v>0</v>
      </c>
      <c r="R19" s="106">
        <f>67*60</f>
        <v>4020</v>
      </c>
      <c r="S19" s="105">
        <v>0</v>
      </c>
      <c r="T19" s="106">
        <v>875</v>
      </c>
      <c r="U19" s="93">
        <v>0</v>
      </c>
      <c r="V19" s="106">
        <f>3*60+46</f>
        <v>226</v>
      </c>
      <c r="W19" s="105">
        <v>60</v>
      </c>
      <c r="X19" s="105">
        <v>60</v>
      </c>
      <c r="Y19" s="105">
        <f>1*60+39</f>
        <v>99</v>
      </c>
      <c r="Z19" s="93">
        <v>0</v>
      </c>
      <c r="AA19" s="106">
        <f>7*60+58</f>
        <v>478</v>
      </c>
      <c r="AB19" s="106">
        <v>0</v>
      </c>
      <c r="AC19" s="108">
        <f t="shared" si="0"/>
        <v>33216</v>
      </c>
      <c r="AE19" s="8"/>
    </row>
    <row r="20" spans="1:31" ht="18.75" customHeight="1" thickBot="1" thickTop="1">
      <c r="A20" s="247">
        <v>14</v>
      </c>
      <c r="B20" s="243"/>
      <c r="C20" s="245" t="s">
        <v>30</v>
      </c>
      <c r="D20" s="91" t="s">
        <v>16</v>
      </c>
      <c r="E20" s="104">
        <v>0</v>
      </c>
      <c r="F20" s="105">
        <v>0</v>
      </c>
      <c r="G20" s="106">
        <v>12</v>
      </c>
      <c r="H20" s="106">
        <v>1</v>
      </c>
      <c r="I20" s="106">
        <v>0</v>
      </c>
      <c r="J20" s="106">
        <v>0</v>
      </c>
      <c r="K20" s="105">
        <v>0</v>
      </c>
      <c r="L20" s="106">
        <v>0</v>
      </c>
      <c r="M20" s="106">
        <v>18</v>
      </c>
      <c r="N20" s="106">
        <v>0</v>
      </c>
      <c r="O20" s="106">
        <v>0</v>
      </c>
      <c r="P20" s="106">
        <v>0</v>
      </c>
      <c r="Q20" s="105">
        <v>5</v>
      </c>
      <c r="R20" s="106">
        <v>0</v>
      </c>
      <c r="S20" s="105">
        <v>0</v>
      </c>
      <c r="T20" s="106">
        <v>0</v>
      </c>
      <c r="U20" s="93">
        <v>0</v>
      </c>
      <c r="V20" s="106">
        <v>1</v>
      </c>
      <c r="W20" s="105">
        <v>0</v>
      </c>
      <c r="X20" s="105">
        <v>0</v>
      </c>
      <c r="Y20" s="105">
        <v>0</v>
      </c>
      <c r="Z20" s="93">
        <v>0</v>
      </c>
      <c r="AA20" s="106">
        <v>2</v>
      </c>
      <c r="AB20" s="106">
        <v>0</v>
      </c>
      <c r="AC20" s="108">
        <f t="shared" si="0"/>
        <v>39</v>
      </c>
      <c r="AE20" s="8"/>
    </row>
    <row r="21" spans="1:31" ht="18.75" customHeight="1" thickBot="1" thickTop="1">
      <c r="A21" s="248"/>
      <c r="B21" s="243"/>
      <c r="C21" s="246"/>
      <c r="D21" s="91" t="s">
        <v>17</v>
      </c>
      <c r="E21" s="104">
        <v>0</v>
      </c>
      <c r="F21" s="105">
        <v>0</v>
      </c>
      <c r="G21" s="106">
        <f>17*60+23</f>
        <v>1043</v>
      </c>
      <c r="H21" s="106">
        <f>2*60+30</f>
        <v>150</v>
      </c>
      <c r="I21" s="106">
        <v>0</v>
      </c>
      <c r="J21" s="106">
        <v>0</v>
      </c>
      <c r="K21" s="105">
        <v>0</v>
      </c>
      <c r="L21" s="106">
        <v>0</v>
      </c>
      <c r="M21" s="106">
        <v>1150</v>
      </c>
      <c r="N21" s="106">
        <v>0</v>
      </c>
      <c r="O21" s="106">
        <v>0</v>
      </c>
      <c r="P21" s="106">
        <v>0</v>
      </c>
      <c r="Q21" s="105">
        <v>3330</v>
      </c>
      <c r="R21" s="106">
        <v>0</v>
      </c>
      <c r="S21" s="105">
        <v>0</v>
      </c>
      <c r="T21" s="106">
        <v>0</v>
      </c>
      <c r="U21" s="93">
        <v>0</v>
      </c>
      <c r="V21" s="106">
        <v>60</v>
      </c>
      <c r="W21" s="105">
        <v>0</v>
      </c>
      <c r="X21" s="105">
        <v>0</v>
      </c>
      <c r="Y21" s="105">
        <v>0</v>
      </c>
      <c r="Z21" s="93">
        <v>0</v>
      </c>
      <c r="AA21" s="106">
        <f>4*60+5</f>
        <v>245</v>
      </c>
      <c r="AB21" s="106">
        <v>0</v>
      </c>
      <c r="AC21" s="108">
        <f t="shared" si="0"/>
        <v>5978</v>
      </c>
      <c r="AE21" s="8"/>
    </row>
    <row r="22" spans="1:31" ht="18.75" customHeight="1" thickBot="1" thickTop="1">
      <c r="A22" s="247">
        <v>15</v>
      </c>
      <c r="B22" s="243"/>
      <c r="C22" s="245" t="s">
        <v>31</v>
      </c>
      <c r="D22" s="91" t="s">
        <v>16</v>
      </c>
      <c r="E22" s="104">
        <v>0</v>
      </c>
      <c r="F22" s="105">
        <v>6</v>
      </c>
      <c r="G22" s="106">
        <v>17</v>
      </c>
      <c r="H22" s="106">
        <v>6</v>
      </c>
      <c r="I22" s="106">
        <v>0</v>
      </c>
      <c r="J22" s="106">
        <v>3</v>
      </c>
      <c r="K22" s="105">
        <v>0</v>
      </c>
      <c r="L22" s="106">
        <v>8</v>
      </c>
      <c r="M22" s="106">
        <v>41</v>
      </c>
      <c r="N22" s="106">
        <v>6</v>
      </c>
      <c r="O22" s="106">
        <v>10</v>
      </c>
      <c r="P22" s="106">
        <v>0</v>
      </c>
      <c r="Q22" s="105">
        <v>0</v>
      </c>
      <c r="R22" s="106">
        <v>2</v>
      </c>
      <c r="S22" s="105">
        <v>0</v>
      </c>
      <c r="T22" s="106">
        <v>0</v>
      </c>
      <c r="U22" s="93">
        <v>0</v>
      </c>
      <c r="V22" s="106">
        <v>14</v>
      </c>
      <c r="W22" s="105">
        <v>0</v>
      </c>
      <c r="X22" s="106">
        <v>1</v>
      </c>
      <c r="Y22" s="106">
        <v>0</v>
      </c>
      <c r="Z22" s="93">
        <v>0</v>
      </c>
      <c r="AA22" s="106">
        <v>11</v>
      </c>
      <c r="AB22" s="106">
        <v>7</v>
      </c>
      <c r="AC22" s="108">
        <f t="shared" si="0"/>
        <v>132</v>
      </c>
      <c r="AE22" s="8"/>
    </row>
    <row r="23" spans="1:31" ht="18.75" customHeight="1" thickBot="1" thickTop="1">
      <c r="A23" s="248"/>
      <c r="B23" s="243"/>
      <c r="C23" s="246"/>
      <c r="D23" s="91" t="s">
        <v>17</v>
      </c>
      <c r="E23" s="109">
        <v>0</v>
      </c>
      <c r="F23" s="110">
        <f>7*60+35</f>
        <v>455</v>
      </c>
      <c r="G23" s="111">
        <f>16*60+17</f>
        <v>977</v>
      </c>
      <c r="H23" s="111">
        <f>1*60+2</f>
        <v>62</v>
      </c>
      <c r="I23" s="111">
        <v>0</v>
      </c>
      <c r="J23" s="111">
        <f>1*60+11</f>
        <v>71</v>
      </c>
      <c r="K23" s="110">
        <v>0</v>
      </c>
      <c r="L23" s="111">
        <f>634*60</f>
        <v>38040</v>
      </c>
      <c r="M23" s="111">
        <v>3395</v>
      </c>
      <c r="N23" s="111">
        <f>5*60+31</f>
        <v>331</v>
      </c>
      <c r="O23" s="111">
        <f>679*60</f>
        <v>40740</v>
      </c>
      <c r="P23" s="111">
        <v>0</v>
      </c>
      <c r="Q23" s="110">
        <v>0</v>
      </c>
      <c r="R23" s="111">
        <f>13*60</f>
        <v>780</v>
      </c>
      <c r="S23" s="105">
        <v>0</v>
      </c>
      <c r="T23" s="111">
        <v>0</v>
      </c>
      <c r="U23" s="93">
        <v>0</v>
      </c>
      <c r="V23" s="111">
        <f>17*60+38</f>
        <v>1058</v>
      </c>
      <c r="W23" s="110">
        <v>0</v>
      </c>
      <c r="X23" s="111">
        <v>93</v>
      </c>
      <c r="Y23" s="111">
        <v>0</v>
      </c>
      <c r="Z23" s="93">
        <v>0</v>
      </c>
      <c r="AA23" s="111">
        <f>8*60+42</f>
        <v>522</v>
      </c>
      <c r="AB23" s="111">
        <f>12*60</f>
        <v>720</v>
      </c>
      <c r="AC23" s="113">
        <f t="shared" si="0"/>
        <v>87244</v>
      </c>
      <c r="AE23" s="8"/>
    </row>
    <row r="24" spans="1:31" ht="18.75" customHeight="1" thickBot="1" thickTop="1">
      <c r="A24" s="121">
        <v>16</v>
      </c>
      <c r="B24" s="243"/>
      <c r="C24" s="229" t="s">
        <v>44</v>
      </c>
      <c r="D24" s="230"/>
      <c r="E24" s="114">
        <f>IF((E16+E18+E20+E22)&gt;E36,0,(+E36-E16-E18-E20-E22))</f>
        <v>29</v>
      </c>
      <c r="F24" s="115">
        <f aca="true" t="shared" si="5" ref="F24:AB24">IF((F16+F18+F20+F22)&gt;F36,0,(+F36-F16-F18-F20-F22))</f>
        <v>2</v>
      </c>
      <c r="G24" s="115">
        <f t="shared" si="5"/>
        <v>13</v>
      </c>
      <c r="H24" s="115">
        <f>IF((H16+H18+H20+H22)&gt;H36,0,(+H36-H16-H18-H20-H22))</f>
        <v>0</v>
      </c>
      <c r="I24" s="115">
        <f t="shared" si="5"/>
        <v>3</v>
      </c>
      <c r="J24" s="115">
        <f t="shared" si="5"/>
        <v>0</v>
      </c>
      <c r="K24" s="115">
        <f t="shared" si="5"/>
        <v>0</v>
      </c>
      <c r="L24" s="115">
        <f t="shared" si="5"/>
        <v>41</v>
      </c>
      <c r="M24" s="115">
        <f t="shared" si="5"/>
        <v>22</v>
      </c>
      <c r="N24" s="115">
        <f t="shared" si="5"/>
        <v>4</v>
      </c>
      <c r="O24" s="115">
        <f>IF((O16+O18+O20+O22)&gt;O36,0,(+O36-O16-O18-O20-O22))</f>
        <v>30</v>
      </c>
      <c r="P24" s="115">
        <f>IF((P16+P18+P20+P22)&gt;P36,0,(+P36-P16-P18-P20-P22))</f>
        <v>0</v>
      </c>
      <c r="Q24" s="115">
        <f>IF((Q16+Q18+Q20+Q22)&gt;Q36,0,(+Q36-Q16-Q18-Q20-Q22))</f>
        <v>0</v>
      </c>
      <c r="R24" s="115">
        <f t="shared" si="5"/>
        <v>0</v>
      </c>
      <c r="S24" s="115">
        <f t="shared" si="5"/>
        <v>1</v>
      </c>
      <c r="T24" s="115">
        <f t="shared" si="5"/>
        <v>9</v>
      </c>
      <c r="U24" s="115">
        <f>IF((U16+U18+U20+U22)&gt;U36,0,(+U36-U16-U18-U20-U22))</f>
        <v>6</v>
      </c>
      <c r="V24" s="115">
        <f t="shared" si="5"/>
        <v>1</v>
      </c>
      <c r="W24" s="115">
        <f t="shared" si="5"/>
        <v>14</v>
      </c>
      <c r="X24" s="115">
        <f t="shared" si="5"/>
        <v>1</v>
      </c>
      <c r="Y24" s="115">
        <f>IF((Y16+Y18+Y20+Y22)&gt;Y36,0,(+Y36-Y16-Y18-Y20-Y22))</f>
        <v>0</v>
      </c>
      <c r="Z24" s="115">
        <f t="shared" si="5"/>
        <v>20</v>
      </c>
      <c r="AA24" s="115">
        <f t="shared" si="5"/>
        <v>11</v>
      </c>
      <c r="AB24" s="115">
        <f t="shared" si="5"/>
        <v>3</v>
      </c>
      <c r="AC24" s="116">
        <f t="shared" si="0"/>
        <v>210</v>
      </c>
      <c r="AE24" s="8"/>
    </row>
    <row r="25" spans="1:31" ht="18.75" customHeight="1" thickBot="1" thickTop="1">
      <c r="A25" s="247">
        <v>17</v>
      </c>
      <c r="B25" s="243"/>
      <c r="C25" s="232" t="s">
        <v>22</v>
      </c>
      <c r="D25" s="150" t="s">
        <v>36</v>
      </c>
      <c r="E25" s="158">
        <f>IF((E16+E18+E20+E22)&gt;E36,(E16+E18+E20+E22),E36)</f>
        <v>29</v>
      </c>
      <c r="F25" s="159">
        <f aca="true" t="shared" si="6" ref="F25:AB25">IF((F16+F18+F20+F22)&gt;F36,(F16+F18+F20+F22),F36)</f>
        <v>9</v>
      </c>
      <c r="G25" s="159">
        <f t="shared" si="6"/>
        <v>100</v>
      </c>
      <c r="H25" s="159">
        <f t="shared" si="6"/>
        <v>7</v>
      </c>
      <c r="I25" s="159">
        <f t="shared" si="6"/>
        <v>3</v>
      </c>
      <c r="J25" s="159">
        <f t="shared" si="6"/>
        <v>4</v>
      </c>
      <c r="K25" s="159">
        <f t="shared" si="6"/>
        <v>7</v>
      </c>
      <c r="L25" s="159">
        <f t="shared" si="6"/>
        <v>53</v>
      </c>
      <c r="M25" s="159">
        <f t="shared" si="6"/>
        <v>231</v>
      </c>
      <c r="N25" s="159">
        <f t="shared" si="6"/>
        <v>17</v>
      </c>
      <c r="O25" s="159">
        <f>IF((O16+O18+O20+O22)&gt;O36,(O16+O18+O20+O22),O36)</f>
        <v>40</v>
      </c>
      <c r="P25" s="159">
        <f>IF((P16+P18+P20+P22)&gt;P36,(P16+P18+P20+P22),P36)</f>
        <v>6</v>
      </c>
      <c r="Q25" s="159">
        <f>IF((Q16+Q18+Q20+Q22)&gt;Q36,(Q16+Q18+Q20+Q22),Q36)</f>
        <v>5</v>
      </c>
      <c r="R25" s="159">
        <f t="shared" si="6"/>
        <v>12</v>
      </c>
      <c r="S25" s="159">
        <f t="shared" si="6"/>
        <v>1</v>
      </c>
      <c r="T25" s="159">
        <f t="shared" si="6"/>
        <v>27</v>
      </c>
      <c r="U25" s="159">
        <f>IF((U16+U18+U20+U22)&gt;U36,(U16+U18+U20+U22),U36)</f>
        <v>6</v>
      </c>
      <c r="V25" s="159">
        <f t="shared" si="6"/>
        <v>22</v>
      </c>
      <c r="W25" s="159">
        <f t="shared" si="6"/>
        <v>15</v>
      </c>
      <c r="X25" s="159">
        <f t="shared" si="6"/>
        <v>3</v>
      </c>
      <c r="Y25" s="159">
        <f>IF((Y16+Y18+Y20+Y22)&gt;Y36,(Y16+Y18+Y20+Y22),Y36)</f>
        <v>5</v>
      </c>
      <c r="Z25" s="159">
        <f t="shared" si="6"/>
        <v>20</v>
      </c>
      <c r="AA25" s="159">
        <f t="shared" si="6"/>
        <v>28</v>
      </c>
      <c r="AB25" s="159">
        <f t="shared" si="6"/>
        <v>10</v>
      </c>
      <c r="AC25" s="151">
        <f t="shared" si="0"/>
        <v>660</v>
      </c>
      <c r="AE25" s="8"/>
    </row>
    <row r="26" spans="1:33" ht="19.5" customHeight="1" thickBot="1" thickTop="1">
      <c r="A26" s="249"/>
      <c r="B26" s="244"/>
      <c r="C26" s="233"/>
      <c r="D26" s="122" t="s">
        <v>17</v>
      </c>
      <c r="E26" s="114">
        <f>+E17+E19+E21+E23</f>
        <v>0</v>
      </c>
      <c r="F26" s="115">
        <f aca="true" t="shared" si="7" ref="F26:AB26">+F17+F19+F21+F23</f>
        <v>641</v>
      </c>
      <c r="G26" s="115">
        <f t="shared" si="7"/>
        <v>4856</v>
      </c>
      <c r="H26" s="115">
        <f t="shared" si="7"/>
        <v>212</v>
      </c>
      <c r="I26" s="115">
        <f t="shared" si="7"/>
        <v>0</v>
      </c>
      <c r="J26" s="115">
        <f t="shared" si="7"/>
        <v>131</v>
      </c>
      <c r="K26" s="115">
        <f t="shared" si="7"/>
        <v>433</v>
      </c>
      <c r="L26" s="115">
        <f t="shared" si="7"/>
        <v>55020</v>
      </c>
      <c r="M26" s="115">
        <f t="shared" si="7"/>
        <v>11518</v>
      </c>
      <c r="N26" s="115">
        <f t="shared" si="7"/>
        <v>526</v>
      </c>
      <c r="O26" s="115">
        <f>+O17+O19+O21+O23</f>
        <v>40740</v>
      </c>
      <c r="P26" s="115">
        <f>+P17+P19+P21+P23</f>
        <v>157</v>
      </c>
      <c r="Q26" s="115">
        <f t="shared" si="7"/>
        <v>3330</v>
      </c>
      <c r="R26" s="115">
        <f t="shared" si="7"/>
        <v>4800</v>
      </c>
      <c r="S26" s="115">
        <f t="shared" si="7"/>
        <v>0</v>
      </c>
      <c r="T26" s="115">
        <f t="shared" si="7"/>
        <v>875</v>
      </c>
      <c r="U26" s="115">
        <f>+U17+U19+U21+U23</f>
        <v>0</v>
      </c>
      <c r="V26" s="115">
        <f t="shared" si="7"/>
        <v>1344</v>
      </c>
      <c r="W26" s="115">
        <f>+W17+W19+X21+W23</f>
        <v>60</v>
      </c>
      <c r="X26" s="115">
        <f>+X17+X19+Y21+X23</f>
        <v>153</v>
      </c>
      <c r="Y26" s="115">
        <f>+Y17+Y19+Z21+Y23</f>
        <v>99</v>
      </c>
      <c r="Z26" s="115">
        <f t="shared" si="7"/>
        <v>0</v>
      </c>
      <c r="AA26" s="115">
        <f t="shared" si="7"/>
        <v>1245</v>
      </c>
      <c r="AB26" s="115">
        <f t="shared" si="7"/>
        <v>720</v>
      </c>
      <c r="AC26" s="116">
        <f t="shared" si="0"/>
        <v>126860</v>
      </c>
      <c r="AE26" s="8"/>
      <c r="AG26" s="8"/>
    </row>
    <row r="27" spans="1:31" ht="14.25" thickTop="1">
      <c r="A27" s="123">
        <v>18</v>
      </c>
      <c r="B27" s="255" t="s">
        <v>18</v>
      </c>
      <c r="C27" s="256"/>
      <c r="D27" s="256"/>
      <c r="E27" s="124">
        <f aca="true" t="shared" si="8" ref="E27:R27">E5+E6+E7</f>
        <v>155</v>
      </c>
      <c r="F27" s="125">
        <f t="shared" si="8"/>
        <v>13</v>
      </c>
      <c r="G27" s="125">
        <f t="shared" si="8"/>
        <v>694</v>
      </c>
      <c r="H27" s="125">
        <f t="shared" si="8"/>
        <v>31</v>
      </c>
      <c r="I27" s="125">
        <f t="shared" si="8"/>
        <v>31</v>
      </c>
      <c r="J27" s="125">
        <f t="shared" si="8"/>
        <v>18</v>
      </c>
      <c r="K27" s="125">
        <f t="shared" si="8"/>
        <v>31</v>
      </c>
      <c r="L27" s="125">
        <f t="shared" si="8"/>
        <v>95</v>
      </c>
      <c r="M27" s="125">
        <f t="shared" si="8"/>
        <v>999</v>
      </c>
      <c r="N27" s="125">
        <f t="shared" si="8"/>
        <v>93</v>
      </c>
      <c r="O27" s="125">
        <f>O5+O6+O7</f>
        <v>57</v>
      </c>
      <c r="P27" s="125">
        <f t="shared" si="8"/>
        <v>62</v>
      </c>
      <c r="Q27" s="125">
        <f t="shared" si="8"/>
        <v>5</v>
      </c>
      <c r="R27" s="125">
        <f t="shared" si="8"/>
        <v>62</v>
      </c>
      <c r="S27" s="125">
        <f aca="true" t="shared" si="9" ref="S27:Z27">S5+S6+S7</f>
        <v>8</v>
      </c>
      <c r="T27" s="125">
        <f t="shared" si="9"/>
        <v>57</v>
      </c>
      <c r="U27" s="125">
        <f>U5+U6+U7</f>
        <v>31</v>
      </c>
      <c r="V27" s="125">
        <f t="shared" si="9"/>
        <v>93</v>
      </c>
      <c r="W27" s="125">
        <f t="shared" si="9"/>
        <v>35</v>
      </c>
      <c r="X27" s="125">
        <f t="shared" si="9"/>
        <v>93</v>
      </c>
      <c r="Y27" s="125">
        <f>Y5+Y6+Y7</f>
        <v>22</v>
      </c>
      <c r="Z27" s="125">
        <f t="shared" si="9"/>
        <v>66</v>
      </c>
      <c r="AA27" s="125">
        <f>AA5+AA6+AA7</f>
        <v>77</v>
      </c>
      <c r="AB27" s="125">
        <f>AB5+AB6+AB7</f>
        <v>13</v>
      </c>
      <c r="AC27" s="102">
        <f t="shared" si="0"/>
        <v>2841</v>
      </c>
      <c r="AE27" s="8"/>
    </row>
    <row r="28" spans="1:31" ht="14.25" thickBot="1">
      <c r="A28" s="126">
        <v>19</v>
      </c>
      <c r="B28" s="257" t="s">
        <v>19</v>
      </c>
      <c r="C28" s="258"/>
      <c r="D28" s="258"/>
      <c r="E28" s="127">
        <f aca="true" t="shared" si="10" ref="E28:R28">E27-E8</f>
        <v>155</v>
      </c>
      <c r="F28" s="128">
        <f t="shared" si="10"/>
        <v>13</v>
      </c>
      <c r="G28" s="128">
        <f t="shared" si="10"/>
        <v>689</v>
      </c>
      <c r="H28" s="128">
        <f t="shared" si="10"/>
        <v>31</v>
      </c>
      <c r="I28" s="128">
        <f t="shared" si="10"/>
        <v>19</v>
      </c>
      <c r="J28" s="128">
        <f t="shared" si="10"/>
        <v>18</v>
      </c>
      <c r="K28" s="128">
        <f t="shared" si="10"/>
        <v>31</v>
      </c>
      <c r="L28" s="128">
        <f t="shared" si="10"/>
        <v>95</v>
      </c>
      <c r="M28" s="128">
        <f t="shared" si="10"/>
        <v>999</v>
      </c>
      <c r="N28" s="128">
        <f t="shared" si="10"/>
        <v>93</v>
      </c>
      <c r="O28" s="128">
        <f>O27-O8</f>
        <v>57</v>
      </c>
      <c r="P28" s="128">
        <f t="shared" si="10"/>
        <v>62</v>
      </c>
      <c r="Q28" s="128">
        <f t="shared" si="10"/>
        <v>5</v>
      </c>
      <c r="R28" s="128">
        <f t="shared" si="10"/>
        <v>62</v>
      </c>
      <c r="S28" s="128">
        <f aca="true" t="shared" si="11" ref="S28:Z28">S27-S8</f>
        <v>8</v>
      </c>
      <c r="T28" s="128">
        <f t="shared" si="11"/>
        <v>57</v>
      </c>
      <c r="U28" s="128">
        <f>U27-U8</f>
        <v>31</v>
      </c>
      <c r="V28" s="128">
        <f t="shared" si="11"/>
        <v>93</v>
      </c>
      <c r="W28" s="128">
        <f t="shared" si="11"/>
        <v>35</v>
      </c>
      <c r="X28" s="128">
        <f t="shared" si="11"/>
        <v>93</v>
      </c>
      <c r="Y28" s="128">
        <f>Y27-Y8</f>
        <v>22</v>
      </c>
      <c r="Z28" s="128">
        <f t="shared" si="11"/>
        <v>66</v>
      </c>
      <c r="AA28" s="128">
        <f>AA27-AA8</f>
        <v>77</v>
      </c>
      <c r="AB28" s="128">
        <f>AB27-AB8</f>
        <v>13</v>
      </c>
      <c r="AC28" s="108">
        <f t="shared" si="0"/>
        <v>2824</v>
      </c>
      <c r="AE28" s="8"/>
    </row>
    <row r="29" spans="1:31" ht="14.25" thickBot="1">
      <c r="A29" s="129">
        <v>20</v>
      </c>
      <c r="B29" s="259" t="s">
        <v>20</v>
      </c>
      <c r="C29" s="260"/>
      <c r="D29" s="260"/>
      <c r="E29" s="130">
        <f>+E28-E9-E10-E11-E12-E16-E18-E20-E22-E24</f>
        <v>122</v>
      </c>
      <c r="F29" s="131">
        <f aca="true" t="shared" si="12" ref="F29:AB29">+F28-F9-F10-F11-F12-F16-F18-F20-F22-F24</f>
        <v>4</v>
      </c>
      <c r="G29" s="131">
        <f t="shared" si="12"/>
        <v>583</v>
      </c>
      <c r="H29" s="131">
        <f t="shared" si="12"/>
        <v>24</v>
      </c>
      <c r="I29" s="131">
        <f t="shared" si="12"/>
        <v>16</v>
      </c>
      <c r="J29" s="131">
        <f t="shared" si="12"/>
        <v>9</v>
      </c>
      <c r="K29" s="131">
        <f t="shared" si="12"/>
        <v>24</v>
      </c>
      <c r="L29" s="131">
        <f t="shared" si="12"/>
        <v>40</v>
      </c>
      <c r="M29" s="131">
        <f t="shared" si="12"/>
        <v>764</v>
      </c>
      <c r="N29" s="131">
        <f t="shared" si="12"/>
        <v>74</v>
      </c>
      <c r="O29" s="131">
        <f>+O28-O9-O10-O11-O12-O16-O18-O20-O22-O24</f>
        <v>11</v>
      </c>
      <c r="P29" s="131">
        <f>+P28-P9-P10-P11-P12-P16-P18-P20-P22-P24</f>
        <v>55</v>
      </c>
      <c r="Q29" s="131">
        <f t="shared" si="12"/>
        <v>0</v>
      </c>
      <c r="R29" s="131">
        <f t="shared" si="12"/>
        <v>49</v>
      </c>
      <c r="S29" s="131">
        <f t="shared" si="12"/>
        <v>0</v>
      </c>
      <c r="T29" s="131">
        <f t="shared" si="12"/>
        <v>15</v>
      </c>
      <c r="U29" s="131">
        <f>+U28-U9-U10-U11-U12-U16-U18-U20-U22-U24</f>
        <v>24</v>
      </c>
      <c r="V29" s="131">
        <f t="shared" si="12"/>
        <v>52</v>
      </c>
      <c r="W29" s="131">
        <f t="shared" si="12"/>
        <v>20</v>
      </c>
      <c r="X29" s="131">
        <f t="shared" si="12"/>
        <v>72</v>
      </c>
      <c r="Y29" s="131">
        <f>+Y28-Y9-Y10-Y11-Y12-Y16-Y18-Y20-Y22-Y24</f>
        <v>13</v>
      </c>
      <c r="Z29" s="131">
        <f t="shared" si="12"/>
        <v>46</v>
      </c>
      <c r="AA29" s="131">
        <f t="shared" si="12"/>
        <v>42</v>
      </c>
      <c r="AB29" s="131">
        <f t="shared" si="12"/>
        <v>3</v>
      </c>
      <c r="AC29" s="113">
        <f t="shared" si="0"/>
        <v>2062</v>
      </c>
      <c r="AE29" s="8"/>
    </row>
    <row r="30" spans="1:33" s="9" customFormat="1" ht="27" customHeight="1" thickBot="1" thickTop="1">
      <c r="A30" s="136">
        <v>21</v>
      </c>
      <c r="B30" s="261" t="s">
        <v>52</v>
      </c>
      <c r="C30" s="262"/>
      <c r="D30" s="262"/>
      <c r="E30" s="137">
        <f>IF(E28=0,0,(IF(E29=0,0,((E29-E6-E7)/(E5-E9-E16-E18)))))</f>
        <v>0.7870967741935484</v>
      </c>
      <c r="F30" s="137">
        <f>IF(F28=0,0,(IF(F29=0,0,((F29-F6-F7)/(F5-F9-F16-F18)))))</f>
        <v>0.3333333333333333</v>
      </c>
      <c r="G30" s="138">
        <f aca="true" t="shared" si="13" ref="G30:AB30">IF(G28=0,0,(IF(G29=0,0,((G29-G6-G7)/(G5-G9-G16-G18)))))</f>
        <v>0.9210110584518167</v>
      </c>
      <c r="H30" s="138">
        <f t="shared" si="13"/>
        <v>0.7741935483870968</v>
      </c>
      <c r="I30" s="138">
        <f t="shared" si="13"/>
        <v>0.5161290322580645</v>
      </c>
      <c r="J30" s="138">
        <f t="shared" si="13"/>
        <v>0.5294117647058824</v>
      </c>
      <c r="K30" s="138">
        <f t="shared" si="13"/>
        <v>1</v>
      </c>
      <c r="L30" s="138">
        <f t="shared" si="13"/>
        <v>0.43956043956043955</v>
      </c>
      <c r="M30" s="138">
        <f t="shared" si="13"/>
        <v>0.901307966706302</v>
      </c>
      <c r="N30" s="138">
        <f t="shared" si="13"/>
        <v>0.8809523809523809</v>
      </c>
      <c r="O30" s="138">
        <f>IF(O28=0,0,(IF(O29=0,0,((O29-O6-O7)/(O5-O9-O16-O18)))))</f>
        <v>0.19298245614035087</v>
      </c>
      <c r="P30" s="138">
        <f>IF(P28=0,0,(IF(P29=0,0,((P29-P6-P7)/(P5-P9-P16-P18)))))</f>
        <v>0.9821428571428571</v>
      </c>
      <c r="Q30" s="138">
        <f t="shared" si="13"/>
        <v>0</v>
      </c>
      <c r="R30" s="138">
        <f t="shared" si="13"/>
        <v>0.9423076923076923</v>
      </c>
      <c r="S30" s="138">
        <f t="shared" si="13"/>
        <v>0</v>
      </c>
      <c r="T30" s="138">
        <f t="shared" si="13"/>
        <v>0.38461538461538464</v>
      </c>
      <c r="U30" s="138">
        <f>IF(U28=0,0,(IF(U29=0,0,((U29-U6-U7)/(U5-U9-U16-U18)))))</f>
        <v>0.7741935483870968</v>
      </c>
      <c r="V30" s="138">
        <f t="shared" si="13"/>
        <v>0.5977011494252874</v>
      </c>
      <c r="W30" s="138">
        <f t="shared" si="13"/>
        <v>0.5882352941176471</v>
      </c>
      <c r="X30" s="138">
        <f t="shared" si="13"/>
        <v>0.782608695652174</v>
      </c>
      <c r="Y30" s="138">
        <f t="shared" si="13"/>
        <v>0.7647058823529411</v>
      </c>
      <c r="Z30" s="138">
        <f t="shared" si="13"/>
        <v>0.696969696969697</v>
      </c>
      <c r="AA30" s="138">
        <f t="shared" si="13"/>
        <v>0.5753424657534246</v>
      </c>
      <c r="AB30" s="138">
        <f t="shared" si="13"/>
        <v>0.23076923076923078</v>
      </c>
      <c r="AC30" s="139">
        <f>IF(AC28=0,0,(AC29/(AC28-AC18)))</f>
        <v>0.8042121684867395</v>
      </c>
      <c r="AE30" s="8"/>
      <c r="AG30" s="12"/>
    </row>
    <row r="31" spans="1:31" ht="15" thickBot="1" thickTop="1">
      <c r="A31" s="132">
        <v>22</v>
      </c>
      <c r="B31" s="252" t="s">
        <v>32</v>
      </c>
      <c r="C31" s="253"/>
      <c r="D31" s="253"/>
      <c r="E31" s="133">
        <f>+E29/E5</f>
        <v>0.7870967741935484</v>
      </c>
      <c r="F31" s="134">
        <f>+F29/F5</f>
        <v>0.3076923076923077</v>
      </c>
      <c r="G31" s="134">
        <f aca="true" t="shared" si="14" ref="G31:AB31">+G29/G5</f>
        <v>0.840057636887608</v>
      </c>
      <c r="H31" s="134">
        <f>+H29/H5</f>
        <v>0.7741935483870968</v>
      </c>
      <c r="I31" s="134">
        <f t="shared" si="14"/>
        <v>0.5161290322580645</v>
      </c>
      <c r="J31" s="134">
        <f t="shared" si="14"/>
        <v>0.5</v>
      </c>
      <c r="K31" s="134">
        <f t="shared" si="14"/>
        <v>0.7741935483870968</v>
      </c>
      <c r="L31" s="134">
        <f t="shared" si="14"/>
        <v>0.42105263157894735</v>
      </c>
      <c r="M31" s="134">
        <f t="shared" si="14"/>
        <v>0.7693856998992951</v>
      </c>
      <c r="N31" s="134">
        <f t="shared" si="14"/>
        <v>0.7956989247311828</v>
      </c>
      <c r="O31" s="134">
        <f>+O29/O5</f>
        <v>0.19298245614035087</v>
      </c>
      <c r="P31" s="134">
        <f>+P29/P5</f>
        <v>0.8870967741935484</v>
      </c>
      <c r="Q31" s="134">
        <f t="shared" si="14"/>
        <v>0</v>
      </c>
      <c r="R31" s="134">
        <f t="shared" si="14"/>
        <v>0.7903225806451613</v>
      </c>
      <c r="S31" s="134">
        <f t="shared" si="14"/>
        <v>0</v>
      </c>
      <c r="T31" s="134">
        <f t="shared" si="14"/>
        <v>0.2631578947368421</v>
      </c>
      <c r="U31" s="134">
        <f>+U29/U5</f>
        <v>0.7741935483870968</v>
      </c>
      <c r="V31" s="134">
        <f t="shared" si="14"/>
        <v>0.5591397849462365</v>
      </c>
      <c r="W31" s="134">
        <f t="shared" si="14"/>
        <v>0.5714285714285714</v>
      </c>
      <c r="X31" s="134">
        <f t="shared" si="14"/>
        <v>0.7741935483870968</v>
      </c>
      <c r="Y31" s="134">
        <f>+Y29/Y5</f>
        <v>0.5909090909090909</v>
      </c>
      <c r="Z31" s="134">
        <f t="shared" si="14"/>
        <v>0.696969696969697</v>
      </c>
      <c r="AA31" s="134">
        <f t="shared" si="14"/>
        <v>0.5454545454545454</v>
      </c>
      <c r="AB31" s="134">
        <f t="shared" si="14"/>
        <v>0.23076923076923078</v>
      </c>
      <c r="AC31" s="135">
        <f>+AC29/AC5</f>
        <v>0.727336860670194</v>
      </c>
      <c r="AE31" s="8"/>
    </row>
    <row r="32" spans="1:31" ht="15" thickBot="1" thickTop="1">
      <c r="A32" s="146">
        <v>23</v>
      </c>
      <c r="B32" s="239" t="s">
        <v>21</v>
      </c>
      <c r="C32" s="254"/>
      <c r="D32" s="157" t="s">
        <v>17</v>
      </c>
      <c r="E32" s="147">
        <f>+E26/E25</f>
        <v>0</v>
      </c>
      <c r="F32" s="148">
        <f>+F26/F25</f>
        <v>71.22222222222223</v>
      </c>
      <c r="G32" s="148">
        <f aca="true" t="shared" si="15" ref="G32:AB32">+G26/G25</f>
        <v>48.56</v>
      </c>
      <c r="H32" s="148">
        <f>+H26/H25</f>
        <v>30.285714285714285</v>
      </c>
      <c r="I32" s="148">
        <f t="shared" si="15"/>
        <v>0</v>
      </c>
      <c r="J32" s="148">
        <f t="shared" si="15"/>
        <v>32.75</v>
      </c>
      <c r="K32" s="148">
        <f t="shared" si="15"/>
        <v>61.857142857142854</v>
      </c>
      <c r="L32" s="148">
        <f t="shared" si="15"/>
        <v>1038.1132075471698</v>
      </c>
      <c r="M32" s="148">
        <f t="shared" si="15"/>
        <v>49.86147186147186</v>
      </c>
      <c r="N32" s="148">
        <f t="shared" si="15"/>
        <v>30.941176470588236</v>
      </c>
      <c r="O32" s="148">
        <f>+O26/O25</f>
        <v>1018.5</v>
      </c>
      <c r="P32" s="148">
        <f>+P26/P25</f>
        <v>26.166666666666668</v>
      </c>
      <c r="Q32" s="148">
        <f t="shared" si="15"/>
        <v>666</v>
      </c>
      <c r="R32" s="148">
        <f t="shared" si="15"/>
        <v>400</v>
      </c>
      <c r="S32" s="148">
        <f t="shared" si="15"/>
        <v>0</v>
      </c>
      <c r="T32" s="148">
        <f t="shared" si="15"/>
        <v>32.407407407407405</v>
      </c>
      <c r="U32" s="148">
        <f>+U26/U25</f>
        <v>0</v>
      </c>
      <c r="V32" s="148">
        <f t="shared" si="15"/>
        <v>61.09090909090909</v>
      </c>
      <c r="W32" s="148">
        <f t="shared" si="15"/>
        <v>4</v>
      </c>
      <c r="X32" s="148">
        <f t="shared" si="15"/>
        <v>51</v>
      </c>
      <c r="Y32" s="148">
        <f>+Y26/Y25</f>
        <v>19.8</v>
      </c>
      <c r="Z32" s="148">
        <f t="shared" si="15"/>
        <v>0</v>
      </c>
      <c r="AA32" s="148">
        <f t="shared" si="15"/>
        <v>44.464285714285715</v>
      </c>
      <c r="AB32" s="148">
        <f t="shared" si="15"/>
        <v>72</v>
      </c>
      <c r="AC32" s="149">
        <f>+AC26/AC25</f>
        <v>192.21212121212122</v>
      </c>
      <c r="AE32" s="8"/>
    </row>
    <row r="33" spans="1:31" ht="13.5" thickTop="1">
      <c r="A33" s="231" t="s">
        <v>58</v>
      </c>
      <c r="B33" s="231"/>
      <c r="C33" s="231"/>
      <c r="D33" s="231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E33" s="8"/>
    </row>
    <row r="34" spans="26:31" ht="13.5" thickBot="1">
      <c r="Z34"/>
      <c r="AA34"/>
      <c r="AB34"/>
      <c r="AE34" s="8"/>
    </row>
    <row r="35" spans="3:31" ht="15" thickBot="1" thickTop="1">
      <c r="C35" s="29" t="s">
        <v>61</v>
      </c>
      <c r="E35" s="13">
        <v>4</v>
      </c>
      <c r="F35" s="14">
        <v>0</v>
      </c>
      <c r="G35" s="14">
        <v>9</v>
      </c>
      <c r="H35" s="14">
        <v>0</v>
      </c>
      <c r="I35" s="14">
        <v>12</v>
      </c>
      <c r="J35" s="14">
        <v>5</v>
      </c>
      <c r="K35" s="14">
        <v>0</v>
      </c>
      <c r="L35" s="14">
        <v>2</v>
      </c>
      <c r="M35" s="14">
        <v>4</v>
      </c>
      <c r="N35" s="14">
        <v>1</v>
      </c>
      <c r="O35" s="14">
        <v>6</v>
      </c>
      <c r="P35" s="14">
        <v>1</v>
      </c>
      <c r="Q35" s="14">
        <v>0</v>
      </c>
      <c r="R35" s="14">
        <v>1</v>
      </c>
      <c r="S35" s="14">
        <v>7</v>
      </c>
      <c r="T35" s="14">
        <v>15</v>
      </c>
      <c r="U35" s="14">
        <v>1</v>
      </c>
      <c r="V35" s="14">
        <v>19</v>
      </c>
      <c r="W35" s="14">
        <v>1</v>
      </c>
      <c r="X35" s="14">
        <v>18</v>
      </c>
      <c r="Y35" s="14">
        <v>4</v>
      </c>
      <c r="Z35" s="14">
        <v>0</v>
      </c>
      <c r="AA35" s="14">
        <v>7</v>
      </c>
      <c r="AB35" s="14">
        <v>0</v>
      </c>
      <c r="AC35" s="11">
        <f>SUM(E35:AB35)</f>
        <v>117</v>
      </c>
      <c r="AE35" s="8"/>
    </row>
    <row r="36" spans="3:31" ht="15" thickBot="1" thickTop="1">
      <c r="C36" s="29" t="s">
        <v>62</v>
      </c>
      <c r="E36" s="18">
        <v>29</v>
      </c>
      <c r="F36" s="19">
        <v>9</v>
      </c>
      <c r="G36" s="20">
        <v>100</v>
      </c>
      <c r="H36" s="20">
        <v>5</v>
      </c>
      <c r="I36" s="20">
        <v>3</v>
      </c>
      <c r="J36" s="20">
        <v>4</v>
      </c>
      <c r="K36" s="20">
        <v>6</v>
      </c>
      <c r="L36" s="20">
        <v>53</v>
      </c>
      <c r="M36" s="20">
        <v>231</v>
      </c>
      <c r="N36" s="20">
        <v>17</v>
      </c>
      <c r="O36" s="20">
        <v>40</v>
      </c>
      <c r="P36" s="20">
        <v>6</v>
      </c>
      <c r="Q36" s="20">
        <v>5</v>
      </c>
      <c r="R36" s="20">
        <v>8</v>
      </c>
      <c r="S36" s="20">
        <v>1</v>
      </c>
      <c r="T36" s="20">
        <v>27</v>
      </c>
      <c r="U36" s="20">
        <v>6</v>
      </c>
      <c r="V36" s="20">
        <v>22</v>
      </c>
      <c r="W36" s="20">
        <v>15</v>
      </c>
      <c r="X36" s="20">
        <v>3</v>
      </c>
      <c r="Y36" s="20">
        <v>4</v>
      </c>
      <c r="Z36" s="20">
        <v>20</v>
      </c>
      <c r="AA36" s="20">
        <v>28</v>
      </c>
      <c r="AB36" s="20">
        <v>10</v>
      </c>
      <c r="AC36" s="11">
        <f>SUM(E36:AB36)</f>
        <v>652</v>
      </c>
      <c r="AE36" s="8"/>
    </row>
    <row r="37" ht="13.5" thickTop="1"/>
  </sheetData>
  <sheetProtection/>
  <mergeCells count="36">
    <mergeCell ref="A1:C1"/>
    <mergeCell ref="A2:C2"/>
    <mergeCell ref="A3:C3"/>
    <mergeCell ref="B31:D31"/>
    <mergeCell ref="B32:C32"/>
    <mergeCell ref="B27:D27"/>
    <mergeCell ref="B28:D28"/>
    <mergeCell ref="B29:D29"/>
    <mergeCell ref="B30:D30"/>
    <mergeCell ref="A16:A17"/>
    <mergeCell ref="B16:B26"/>
    <mergeCell ref="C16:C17"/>
    <mergeCell ref="A18:A19"/>
    <mergeCell ref="C18:C19"/>
    <mergeCell ref="A20:A21"/>
    <mergeCell ref="C20:C21"/>
    <mergeCell ref="A22:A23"/>
    <mergeCell ref="C22:C23"/>
    <mergeCell ref="A25:A26"/>
    <mergeCell ref="A33:D33"/>
    <mergeCell ref="C25:C26"/>
    <mergeCell ref="C24:D24"/>
    <mergeCell ref="B4:D4"/>
    <mergeCell ref="C14:D14"/>
    <mergeCell ref="C15:D15"/>
    <mergeCell ref="B5:D5"/>
    <mergeCell ref="B6:D6"/>
    <mergeCell ref="B7:D7"/>
    <mergeCell ref="B8:B15"/>
    <mergeCell ref="E33:AC33"/>
    <mergeCell ref="C8:D8"/>
    <mergeCell ref="C9:D9"/>
    <mergeCell ref="C10:D10"/>
    <mergeCell ref="C11:D11"/>
    <mergeCell ref="C13:D13"/>
    <mergeCell ref="C12:D12"/>
  </mergeCells>
  <printOptions/>
  <pageMargins left="0.1968503937007874" right="0.1968503937007874" top="0.1968503937007874" bottom="0.1968503937007874" header="0" footer="0"/>
  <pageSetup horizontalDpi="600" verticalDpi="600" orientation="landscape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5" sqref="A35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:L20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U.A.E AERONAUTICA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Cumplimiento Octubre</dc:title>
  <dc:subject/>
  <dc:creator>4242800</dc:creator>
  <cp:keywords/>
  <dc:description/>
  <cp:lastModifiedBy>52198244</cp:lastModifiedBy>
  <cp:lastPrinted>2011-07-22T13:45:39Z</cp:lastPrinted>
  <dcterms:created xsi:type="dcterms:W3CDTF">2009-09-24T13:18:33Z</dcterms:created>
  <dcterms:modified xsi:type="dcterms:W3CDTF">2011-12-20T16:37:44Z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AEVVZYF6TF2M-623-131</vt:lpwstr>
  </property>
  <property fmtid="{D5CDD505-2E9C-101B-9397-08002B2CF9AE}" pid="4" name="_dlc_DocIdItemGu">
    <vt:lpwstr>f744ce75-795d-49a5-8724-19adb3407ab6</vt:lpwstr>
  </property>
  <property fmtid="{D5CDD505-2E9C-101B-9397-08002B2CF9AE}" pid="5" name="_dlc_DocIdU">
    <vt:lpwstr>http://www.aerocivil.gov.co/AAeronautica/Estadisticas/TAereo/_layouts/DocIdRedir.aspx?ID=AEVVZYF6TF2M-623-131, AEVVZYF6TF2M-623-131</vt:lpwstr>
  </property>
  <property fmtid="{D5CDD505-2E9C-101B-9397-08002B2CF9AE}" pid="6" name="Cla">
    <vt:lpwstr/>
  </property>
  <property fmtid="{D5CDD505-2E9C-101B-9397-08002B2CF9AE}" pid="7" name="Secci">
    <vt:lpwstr>Estadísticas Operacionales</vt:lpwstr>
  </property>
  <property fmtid="{D5CDD505-2E9C-101B-9397-08002B2CF9AE}" pid="8" name="Ord">
    <vt:lpwstr>08</vt:lpwstr>
  </property>
  <property fmtid="{D5CDD505-2E9C-101B-9397-08002B2CF9AE}" pid="9" name="Filt">
    <vt:lpwstr>CALIDAD 2011</vt:lpwstr>
  </property>
  <property fmtid="{D5CDD505-2E9C-101B-9397-08002B2CF9AE}" pid="10" name="Forma">
    <vt:lpwstr>/Style%20Library/Images/xls.svg</vt:lpwstr>
  </property>
</Properties>
</file>